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rist_000\Google Drive\1. - RSÍ\1. Kjarasamningar\2015\SART - almenni\"/>
    </mc:Choice>
  </mc:AlternateContent>
  <workbookProtection workbookAlgorithmName="SHA-512" workbookHashValue="y2c/mYFwETeluPaWKIa9Ee7xrlv8CwisV4Kws+ne/Iq6olGC0kpYh9HxSPGNedXHsheHekhBNI19vCl/hkAvKQ==" workbookSaltValue="luZJhByYzWPoPNxhjq2o1Q==" workbookSpinCount="100000" lockStructure="1"/>
  <bookViews>
    <workbookView xWindow="0" yWindow="0" windowWidth="24000" windowHeight="9735" firstSheet="2" activeTab="2"/>
  </bookViews>
  <sheets>
    <sheet name="RSI-Tafla" sheetId="1" state="hidden" r:id="rId1"/>
    <sheet name="Tafla" sheetId="7" state="hidden" r:id="rId2"/>
    <sheet name="Mánaðarlaun" sheetId="6" r:id="rId3"/>
  </sheets>
  <definedNames>
    <definedName name="B_1" localSheetId="2">Mánaðarlaun!$D$1</definedName>
    <definedName name="B_1">#REF!</definedName>
    <definedName name="C_1" localSheetId="2">Mánaðarlaun!$D$2</definedName>
    <definedName name="C_1">#REF!</definedName>
    <definedName name="Launatafla_heild">'RSI-Tafla'!$A$5:$C$21</definedName>
    <definedName name="LT_2014">'RSI-Tafla'!$A$6:$B$11</definedName>
    <definedName name="Threp_1" localSheetId="2">Mánaðarlaun!$C$13</definedName>
    <definedName name="Threp_1">#REF!</definedName>
    <definedName name="Threp_2" localSheetId="2">Mánaðarlaun!#REF!</definedName>
    <definedName name="Threp_2">#REF!</definedName>
    <definedName name="Threp_3">#REF!</definedName>
    <definedName name="Threp_3_b">Mánaðarlaun!$C$17</definedName>
    <definedName name="Threp_4">#REF!</definedName>
    <definedName name="Threp_4_b">Mánaðarlaun!$D$17</definedName>
    <definedName name="Verkf_gjald">'RSI-Tafla'!#REF!</definedName>
  </definedNames>
  <calcPr calcId="152511"/>
</workbook>
</file>

<file path=xl/calcChain.xml><?xml version="1.0" encoding="utf-8"?>
<calcChain xmlns="http://schemas.openxmlformats.org/spreadsheetml/2006/main">
  <c r="G17" i="6" l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I19" i="6" l="1"/>
  <c r="E19" i="6"/>
  <c r="G19" i="6" s="1"/>
  <c r="I17" i="6"/>
  <c r="E17" i="6"/>
  <c r="K13" i="6"/>
  <c r="M13" i="6" s="1"/>
  <c r="F19" i="6" s="1"/>
  <c r="O2" i="6" l="1"/>
  <c r="F17" i="6"/>
  <c r="K17" i="6" s="1"/>
  <c r="M17" i="6" s="1"/>
  <c r="K19" i="6"/>
  <c r="M19" i="6" s="1"/>
  <c r="Q2" i="6"/>
  <c r="F49" i="1"/>
  <c r="F48" i="1"/>
  <c r="AE11" i="1"/>
  <c r="AJ11" i="1" s="1"/>
  <c r="AD11" i="1"/>
  <c r="AI11" i="1" s="1"/>
  <c r="AC11" i="1"/>
  <c r="AH11" i="1" s="1"/>
  <c r="AB11" i="1"/>
  <c r="AG11" i="1" s="1"/>
  <c r="U11" i="1"/>
  <c r="Z11" i="1" s="1"/>
  <c r="T11" i="1"/>
  <c r="Y11" i="1" s="1"/>
  <c r="S11" i="1"/>
  <c r="X11" i="1" s="1"/>
  <c r="R11" i="1"/>
  <c r="W11" i="1" s="1"/>
  <c r="P11" i="1"/>
  <c r="O11" i="1"/>
  <c r="N11" i="1"/>
  <c r="M11" i="1"/>
  <c r="K11" i="1"/>
  <c r="J11" i="1"/>
  <c r="I11" i="1"/>
  <c r="H11" i="1"/>
  <c r="AE9" i="1"/>
  <c r="AJ9" i="1" s="1"/>
  <c r="AD9" i="1"/>
  <c r="AI9" i="1" s="1"/>
  <c r="AC9" i="1"/>
  <c r="AH9" i="1" s="1"/>
  <c r="AB9" i="1"/>
  <c r="AG9" i="1" s="1"/>
  <c r="U9" i="1"/>
  <c r="Z9" i="1" s="1"/>
  <c r="T9" i="1"/>
  <c r="Y9" i="1" s="1"/>
  <c r="S9" i="1"/>
  <c r="X9" i="1" s="1"/>
  <c r="R9" i="1"/>
  <c r="W9" i="1" s="1"/>
  <c r="P9" i="1"/>
  <c r="O9" i="1"/>
  <c r="N9" i="1"/>
  <c r="M9" i="1"/>
  <c r="K9" i="1"/>
  <c r="J9" i="1"/>
  <c r="I9" i="1"/>
  <c r="H9" i="1"/>
  <c r="AE8" i="1"/>
  <c r="AJ8" i="1" s="1"/>
  <c r="AD8" i="1"/>
  <c r="AI8" i="1" s="1"/>
  <c r="AC8" i="1"/>
  <c r="AH8" i="1" s="1"/>
  <c r="AB8" i="1"/>
  <c r="AG8" i="1" s="1"/>
  <c r="U8" i="1"/>
  <c r="Z8" i="1" s="1"/>
  <c r="T8" i="1"/>
  <c r="Y8" i="1" s="1"/>
  <c r="S8" i="1"/>
  <c r="X8" i="1" s="1"/>
  <c r="R8" i="1"/>
  <c r="W8" i="1" s="1"/>
  <c r="P8" i="1"/>
  <c r="O8" i="1"/>
  <c r="N8" i="1"/>
  <c r="M8" i="1"/>
  <c r="K8" i="1"/>
  <c r="J8" i="1"/>
  <c r="I8" i="1"/>
  <c r="H8" i="1"/>
  <c r="AE7" i="1"/>
  <c r="AJ7" i="1" s="1"/>
  <c r="AD7" i="1"/>
  <c r="AI7" i="1" s="1"/>
  <c r="AC7" i="1"/>
  <c r="AH7" i="1" s="1"/>
  <c r="AB7" i="1"/>
  <c r="AG7" i="1" s="1"/>
  <c r="U7" i="1"/>
  <c r="Z7" i="1" s="1"/>
  <c r="T7" i="1"/>
  <c r="Y7" i="1" s="1"/>
  <c r="S7" i="1"/>
  <c r="X7" i="1" s="1"/>
  <c r="R7" i="1"/>
  <c r="W7" i="1" s="1"/>
  <c r="P7" i="1"/>
  <c r="O7" i="1"/>
  <c r="N7" i="1"/>
  <c r="M7" i="1"/>
  <c r="K7" i="1"/>
  <c r="J7" i="1"/>
  <c r="I7" i="1"/>
  <c r="H7" i="1"/>
  <c r="AE6" i="1"/>
  <c r="AJ6" i="1" s="1"/>
  <c r="AD6" i="1"/>
  <c r="AI6" i="1" s="1"/>
  <c r="AC6" i="1"/>
  <c r="AH6" i="1" s="1"/>
  <c r="AB6" i="1"/>
  <c r="AG6" i="1" s="1"/>
  <c r="U6" i="1"/>
  <c r="Z6" i="1" s="1"/>
  <c r="T6" i="1"/>
  <c r="Y6" i="1" s="1"/>
  <c r="S6" i="1"/>
  <c r="X6" i="1" s="1"/>
  <c r="R6" i="1"/>
  <c r="W6" i="1" s="1"/>
  <c r="P6" i="1"/>
  <c r="O6" i="1"/>
  <c r="N6" i="1"/>
  <c r="M6" i="1"/>
  <c r="K6" i="1"/>
  <c r="J6" i="1"/>
  <c r="I6" i="1"/>
  <c r="H6" i="1"/>
  <c r="U5" i="1"/>
  <c r="Z5" i="1" s="1"/>
  <c r="AE5" i="1" s="1"/>
  <c r="AJ5" i="1" s="1"/>
  <c r="T5" i="1"/>
  <c r="Y5" i="1" s="1"/>
  <c r="AD5" i="1" s="1"/>
  <c r="AI5" i="1" s="1"/>
  <c r="S5" i="1"/>
  <c r="X5" i="1" s="1"/>
  <c r="AC5" i="1" s="1"/>
  <c r="AH5" i="1" s="1"/>
  <c r="R5" i="1"/>
  <c r="W5" i="1" s="1"/>
  <c r="AB5" i="1" s="1"/>
  <c r="AG5" i="1" s="1"/>
  <c r="O17" i="6" l="1"/>
  <c r="O19" i="6"/>
  <c r="Q17" i="6" l="1"/>
  <c r="Q19" i="6"/>
</calcChain>
</file>

<file path=xl/sharedStrings.xml><?xml version="1.0" encoding="utf-8"?>
<sst xmlns="http://schemas.openxmlformats.org/spreadsheetml/2006/main" count="75" uniqueCount="67">
  <si>
    <t>Kjarasamningur Rafiðnaðarsambands Íslands</t>
  </si>
  <si>
    <t>Rafiðnaðarmaður að loknu tveggja ára fagnámi og getur unnið sjálfstætt</t>
  </si>
  <si>
    <t>Með verkfæragjaldi</t>
  </si>
  <si>
    <t>Á samnings-tímanum</t>
  </si>
  <si>
    <t>Launahækkanir</t>
  </si>
  <si>
    <t>3,2% - 7,2%</t>
  </si>
  <si>
    <t xml:space="preserve">Mesta launahækkun </t>
  </si>
  <si>
    <t>Minnsta launahækkun</t>
  </si>
  <si>
    <t>B:</t>
  </si>
  <si>
    <t>C:</t>
  </si>
  <si>
    <t>Mánaðarlaun</t>
  </si>
  <si>
    <t>Tímakaup</t>
  </si>
  <si>
    <t>Þín hækkun:</t>
  </si>
  <si>
    <t>Launaskrið:</t>
  </si>
  <si>
    <t>Launataxti / aldur sveinsbréfs hjá þér:</t>
  </si>
  <si>
    <t>Sláðu inn tímakaupið þitt:</t>
  </si>
  <si>
    <t>1.</t>
  </si>
  <si>
    <t>2.</t>
  </si>
  <si>
    <t>3.</t>
  </si>
  <si>
    <t>Eftir hækkun</t>
  </si>
  <si>
    <t>Dagvinna e. Hækkun</t>
  </si>
  <si>
    <t>Hækkun í kr.</t>
  </si>
  <si>
    <t>Nýr taxti:</t>
  </si>
  <si>
    <t>Leiðbeiningar:</t>
  </si>
  <si>
    <t>A</t>
  </si>
  <si>
    <t>B</t>
  </si>
  <si>
    <t>C</t>
  </si>
  <si>
    <t>D</t>
  </si>
  <si>
    <t>Sýnir hver hækkun launa hjá þér gæti orðið. Annars vegar geta laun þín hækkað í samræmi við launaþróunartrygginguna eða þá að launataxtarnir hækki þig upp.</t>
  </si>
  <si>
    <t>Sýnir hver dagvinnulaunataxtinn þinn ætti að vera eftir breytinguna miðað við gefnar forsendur.</t>
  </si>
  <si>
    <t>Sýnir hver mánaðarlaun þín ættu að verða eftir hækkun.</t>
  </si>
  <si>
    <t>Sýnir hækkunina í krónum talið.</t>
  </si>
  <si>
    <t>Nýr taxti 2015</t>
  </si>
  <si>
    <t>Nýr dagv.taxti 2015</t>
  </si>
  <si>
    <t>Veldu hér:</t>
  </si>
  <si>
    <t>Útkoma:</t>
  </si>
  <si>
    <t>Byrjaðu á því að velja viðeigandi forsendur fyrir þínum launum þ.e.a.s. menntun og aldur sveinsbréfs eða meistararéttindi (fellilisti birtist í reit C13 þegar hann er valinn)</t>
  </si>
  <si>
    <t>Þrep 1.</t>
  </si>
  <si>
    <t>Þrep 2.</t>
  </si>
  <si>
    <t>Þrep 3.</t>
  </si>
  <si>
    <t>Sláðu inn launin sem þú hafðir þann 2. febrúar 2014 (með 2,8% launahækkun síðustu kjarasamninga).</t>
  </si>
  <si>
    <r>
      <t xml:space="preserve">Sláðu inn launin sem þú hafðir þann 30. apríl 2015, ef sú upphæð er hærri en í þrepi 3 þá hefur þú notið launaskriðs. 
</t>
    </r>
    <r>
      <rPr>
        <sz val="11"/>
        <color rgb="FFFF0000"/>
        <rFont val="Calibri"/>
        <family val="2"/>
        <scheme val="minor"/>
      </rPr>
      <t>ATH! Sé hækkunin til komin vegna hækkunar vegna sveinsbréfs þá má horfa fram hjá þeirri hækkun!</t>
    </r>
  </si>
  <si>
    <t>Sláðu inn laun þín 2. febrúar 2014 (föst laun)</t>
  </si>
  <si>
    <t>Sláðu inn laun þín 30. apríl 2015 (föst laun)</t>
  </si>
  <si>
    <t>Sláðu inn mánaðarlaunin þín:  - &gt;</t>
  </si>
  <si>
    <t>Sveinn eftir 1 ár</t>
  </si>
  <si>
    <t>Sveinn - byrjunarlaun</t>
  </si>
  <si>
    <t>Sveinn eftir 3 ár</t>
  </si>
  <si>
    <t>Sveinn eftir 5 ár</t>
  </si>
  <si>
    <t>Sveinn eftir 7 ár</t>
  </si>
  <si>
    <t>Iðnaðarmaður án sveinsprófs - byrjunarlaun</t>
  </si>
  <si>
    <t>Iðnaðarmaður án sveinsprófs - eftir 1 ár</t>
  </si>
  <si>
    <t>Aðstoðarfólk - byrjunarlaun</t>
  </si>
  <si>
    <t>Aðstoðarfólk - eftir 1 ár</t>
  </si>
  <si>
    <t>Aðstoðarfólk - eftir 3 ár</t>
  </si>
  <si>
    <t>Aðstoðarfólk - eftir 5 ár í sama fyrirtæki</t>
  </si>
  <si>
    <t>Sveinn eftir 5 ár með meistararéttindi</t>
  </si>
  <si>
    <t>Sérhæft aðstoðarfólk - byrjunarlaun</t>
  </si>
  <si>
    <t>Sérhæft aðstoðarfólk - eftir 1 ár</t>
  </si>
  <si>
    <t>Sérhæft aðstoðarfólk - eftir 3 ár</t>
  </si>
  <si>
    <t>Sérhæft aðstoðarfólk - eftir 5 ár</t>
  </si>
  <si>
    <t>ATHUGIÐ! Reiknivél þessi er sett upp til þess að auðvelda ákveðna nálgun að launahækkunum bókagerðarmanna. Vinsamlegast staðfestið útreikninga með því að fara í töflur sem fylgja kjarasamningi. Þessir útreikningar eru settir fram með fyrirvara um villur og án allrar ábyrgðar!</t>
  </si>
  <si>
    <t>Launaþróunartrygging 2015 skv. kjarasamningi</t>
  </si>
  <si>
    <t>Frá</t>
  </si>
  <si>
    <t>Til</t>
  </si>
  <si>
    <t>Hækkun</t>
  </si>
  <si>
    <t>Launaþróunartrygging - Hámark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</si>
</sst>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r_._-;\-* #,##0\ _k_r_._-;_-* &quot;-&quot;\ _k_r_._-;_-@_-"/>
    <numFmt numFmtId="164" formatCode="0.0%"/>
    <numFmt numFmtId="165" formatCode="0.0\ &quot;%&quot;"/>
    <numFmt numFmtId="167" formatCode="_-* #,##0.00\ &quot;kr&quot;_-;\-* #,##0.00\ &quot;kr&quot;_-;_-* &quot;-&quot;??\ &quot;kr&quot;_-;_-@_-"/>
    <numFmt numFmtId="168" formatCode="_-* #,##0\ &quot;kr&quot;_-;\-* #,##0\ &quot;kr&quot;_-;_-* &quot;-&quot;??\ &quot;kr&quot;_-;_-@_-"/>
    <numFmt numFmtId="169" formatCode="_-* #,##0.00\ _k_r_-;\-* #,##0.00\ _k_r_-;_-* &quot;-&quot;??\ _k_r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protection locked="0"/>
    </xf>
  </cellStyleXfs>
  <cellXfs count="140">
    <xf numFmtId="0" fontId="0" fillId="0" borderId="0" xfId="0"/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41" fontId="0" fillId="0" borderId="0" xfId="0" applyNumberFormat="1" applyFont="1" applyFill="1" applyBorder="1" applyAlignment="1" applyProtection="1">
      <alignment horizontal="left" wrapText="1"/>
      <protection locked="0"/>
    </xf>
    <xf numFmtId="41" fontId="0" fillId="0" borderId="0" xfId="0" applyNumberFormat="1"/>
    <xf numFmtId="0" fontId="6" fillId="0" borderId="0" xfId="0" applyNumberFormat="1" applyFont="1" applyFill="1" applyBorder="1" applyAlignment="1" applyProtection="1"/>
    <xf numFmtId="14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64" fontId="6" fillId="0" borderId="0" xfId="2" applyNumberFormat="1" applyFont="1" applyFill="1" applyBorder="1" applyAlignment="1" applyProtection="1">
      <protection locked="0"/>
    </xf>
    <xf numFmtId="41" fontId="0" fillId="0" borderId="0" xfId="1" applyFont="1" applyFill="1" applyBorder="1"/>
    <xf numFmtId="164" fontId="0" fillId="0" borderId="0" xfId="2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0" fontId="2" fillId="2" borderId="1" xfId="0" applyFont="1" applyFill="1" applyBorder="1"/>
    <xf numFmtId="41" fontId="0" fillId="2" borderId="0" xfId="1" applyFont="1" applyFill="1" applyBorder="1"/>
    <xf numFmtId="41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41" fontId="0" fillId="0" borderId="2" xfId="1" applyFont="1" applyFill="1" applyBorder="1"/>
    <xf numFmtId="0" fontId="5" fillId="0" borderId="0" xfId="0" applyNumberFormat="1" applyFont="1" applyFill="1" applyBorder="1" applyAlignment="1" applyProtection="1"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/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/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3" xfId="0" applyFont="1" applyFill="1" applyBorder="1"/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5" xfId="0" applyFont="1" applyBorder="1"/>
    <xf numFmtId="0" fontId="0" fillId="0" borderId="1" xfId="0" applyBorder="1" applyAlignment="1">
      <alignment horizontal="center"/>
    </xf>
    <xf numFmtId="0" fontId="2" fillId="3" borderId="5" xfId="0" applyFont="1" applyFill="1" applyBorder="1"/>
    <xf numFmtId="165" fontId="2" fillId="3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0" fillId="0" borderId="0" xfId="0" applyFont="1"/>
    <xf numFmtId="0" fontId="0" fillId="0" borderId="0" xfId="0" applyAlignment="1">
      <alignment wrapText="1"/>
    </xf>
    <xf numFmtId="41" fontId="0" fillId="4" borderId="0" xfId="0" applyNumberFormat="1" applyFill="1" applyAlignment="1">
      <alignment horizontal="center"/>
    </xf>
    <xf numFmtId="41" fontId="0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10" fontId="13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1" fontId="11" fillId="5" borderId="0" xfId="1" applyFont="1" applyFill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41" fontId="11" fillId="0" borderId="0" xfId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1" fontId="0" fillId="5" borderId="0" xfId="1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0" fillId="0" borderId="0" xfId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0" fillId="0" borderId="6" xfId="0" applyBorder="1"/>
    <xf numFmtId="0" fontId="2" fillId="0" borderId="7" xfId="0" applyFont="1" applyBorder="1"/>
    <xf numFmtId="0" fontId="15" fillId="6" borderId="8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15" fillId="6" borderId="9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5" fillId="5" borderId="1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2" fillId="0" borderId="0" xfId="0" applyFont="1" applyBorder="1"/>
    <xf numFmtId="9" fontId="1" fillId="5" borderId="0" xfId="2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0" fontId="2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0" xfId="0" applyFont="1" applyAlignment="1">
      <alignment horizontal="center"/>
    </xf>
    <xf numFmtId="168" fontId="19" fillId="0" borderId="0" xfId="5" applyNumberFormat="1" applyFill="1" applyBorder="1"/>
    <xf numFmtId="3" fontId="6" fillId="0" borderId="0" xfId="0" applyNumberFormat="1" applyFont="1" applyFill="1" applyBorder="1" applyAlignment="1" applyProtection="1"/>
    <xf numFmtId="3" fontId="6" fillId="0" borderId="0" xfId="0" applyNumberFormat="1" applyFont="1"/>
    <xf numFmtId="3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168" fontId="19" fillId="0" borderId="0" xfId="5" applyNumberFormat="1" applyFill="1" applyBorder="1"/>
    <xf numFmtId="168" fontId="19" fillId="0" borderId="0" xfId="5" applyNumberFormat="1" applyBorder="1"/>
    <xf numFmtId="168" fontId="19" fillId="0" borderId="0" xfId="5" applyNumberFormat="1" applyFill="1" applyBorder="1"/>
    <xf numFmtId="0" fontId="0" fillId="0" borderId="0" xfId="0" applyFill="1" applyAlignment="1"/>
    <xf numFmtId="0" fontId="15" fillId="0" borderId="13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18" fillId="6" borderId="0" xfId="0" applyFont="1" applyFill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4" borderId="0" xfId="0" applyFont="1" applyFill="1" applyAlignment="1" applyProtection="1">
      <alignment horizontal="left"/>
      <protection locked="0"/>
    </xf>
    <xf numFmtId="41" fontId="0" fillId="4" borderId="0" xfId="1" applyFont="1" applyFill="1" applyAlignment="1" applyProtection="1">
      <alignment horizontal="center" shrinkToFit="1"/>
      <protection locked="0"/>
    </xf>
    <xf numFmtId="41" fontId="0" fillId="0" borderId="0" xfId="0" applyNumberFormat="1" applyAlignment="1">
      <alignment horizontal="center" shrinkToFit="1"/>
    </xf>
    <xf numFmtId="164" fontId="0" fillId="0" borderId="0" xfId="2" applyNumberFormat="1" applyFont="1" applyAlignment="1">
      <alignment horizontal="center" shrinkToFit="1"/>
    </xf>
    <xf numFmtId="0" fontId="0" fillId="0" borderId="0" xfId="0" applyAlignment="1">
      <alignment shrinkToFit="1"/>
    </xf>
    <xf numFmtId="164" fontId="1" fillId="5" borderId="0" xfId="2" applyNumberFormat="1" applyFont="1" applyFill="1" applyAlignment="1">
      <alignment horizontal="center" shrinkToFit="1"/>
    </xf>
    <xf numFmtId="164" fontId="13" fillId="5" borderId="0" xfId="0" applyNumberFormat="1" applyFont="1" applyFill="1" applyAlignment="1">
      <alignment horizontal="center" shrinkToFit="1"/>
    </xf>
    <xf numFmtId="10" fontId="13" fillId="0" borderId="0" xfId="0" applyNumberFormat="1" applyFont="1" applyFill="1" applyAlignment="1">
      <alignment horizontal="center" shrinkToFit="1"/>
    </xf>
    <xf numFmtId="41" fontId="11" fillId="5" borderId="0" xfId="1" applyFont="1" applyFill="1" applyAlignment="1">
      <alignment horizontal="center" shrinkToFit="1"/>
    </xf>
    <xf numFmtId="41" fontId="11" fillId="0" borderId="0" xfId="1" applyFont="1" applyFill="1" applyAlignment="1">
      <alignment horizontal="center" shrinkToFit="1"/>
    </xf>
    <xf numFmtId="41" fontId="0" fillId="5" borderId="0" xfId="1" applyFont="1" applyFill="1" applyAlignment="1">
      <alignment horizontal="center" shrinkToFit="1"/>
    </xf>
    <xf numFmtId="41" fontId="0" fillId="0" borderId="0" xfId="1" applyFont="1" applyFill="1" applyAlignment="1">
      <alignment horizontal="center" shrinkToFit="1"/>
    </xf>
  </cellXfs>
  <cellStyles count="8">
    <cellStyle name="Comma [0]" xfId="1" builtinId="6"/>
    <cellStyle name="Comma 2" xfId="4"/>
    <cellStyle name="Currency 2" xfId="5"/>
    <cellStyle name="Heiti" xfId="7"/>
    <cellStyle name="Normal" xfId="0" builtinId="0"/>
    <cellStyle name="Normal 2" xfId="3"/>
    <cellStyle name="Percent" xfId="2" builtinId="5"/>
    <cellStyle name="Percent 2" xfId="6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4</xdr:row>
      <xdr:rowOff>142875</xdr:rowOff>
    </xdr:from>
    <xdr:to>
      <xdr:col>3</xdr:col>
      <xdr:colOff>799790</xdr:colOff>
      <xdr:row>5</xdr:row>
      <xdr:rowOff>361950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23875"/>
          <a:ext cx="1818965" cy="790575"/>
        </a:xfrm>
        <a:prstGeom prst="rect">
          <a:avLst/>
        </a:prstGeom>
        <a:solidFill>
          <a:srgbClr val="FF00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zoomScale="140" zoomScaleNormal="140" workbookViewId="0">
      <selection activeCell="A58" sqref="A58"/>
    </sheetView>
  </sheetViews>
  <sheetFormatPr defaultRowHeight="15" x14ac:dyDescent="0.25"/>
  <cols>
    <col min="1" max="1" width="49.5703125" bestFit="1" customWidth="1"/>
    <col min="2" max="2" width="12.140625" bestFit="1" customWidth="1"/>
    <col min="3" max="5" width="12.28515625" bestFit="1" customWidth="1"/>
    <col min="6" max="6" width="13.42578125" customWidth="1"/>
    <col min="7" max="7" width="12.28515625" bestFit="1" customWidth="1"/>
    <col min="8" max="8" width="11.7109375" customWidth="1"/>
    <col min="9" max="9" width="13.7109375" bestFit="1" customWidth="1"/>
    <col min="10" max="11" width="11.140625" bestFit="1" customWidth="1"/>
    <col min="12" max="12" width="10.42578125" bestFit="1" customWidth="1"/>
    <col min="13" max="15" width="11.140625" bestFit="1" customWidth="1"/>
    <col min="16" max="19" width="11.28515625" bestFit="1" customWidth="1"/>
    <col min="20" max="20" width="11.7109375" bestFit="1" customWidth="1"/>
    <col min="21" max="21" width="13.7109375" customWidth="1"/>
    <col min="22" max="24" width="12.28515625" bestFit="1" customWidth="1"/>
    <col min="31" max="34" width="12.28515625" bestFit="1" customWidth="1"/>
  </cols>
  <sheetData>
    <row r="1" spans="1:37" ht="18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37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37" x14ac:dyDescent="0.2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37" x14ac:dyDescent="0.25">
      <c r="A4" s="1"/>
      <c r="B4" s="5">
        <v>41640</v>
      </c>
      <c r="C4" s="5">
        <v>42125</v>
      </c>
      <c r="D4" s="5">
        <v>42491</v>
      </c>
      <c r="E4" s="5">
        <v>42856</v>
      </c>
      <c r="F4" s="5">
        <v>43221</v>
      </c>
      <c r="G4" s="2"/>
      <c r="H4" s="1"/>
      <c r="I4" s="3"/>
      <c r="S4" s="114" t="s">
        <v>2</v>
      </c>
      <c r="T4" s="114"/>
      <c r="U4" s="114"/>
      <c r="V4" s="114"/>
      <c r="X4" s="114" t="s">
        <v>2</v>
      </c>
      <c r="Y4" s="114"/>
      <c r="Z4" s="114"/>
      <c r="AA4" s="114"/>
      <c r="AC4" s="114" t="s">
        <v>2</v>
      </c>
      <c r="AD4" s="114"/>
      <c r="AE4" s="114"/>
      <c r="AF4" s="114"/>
      <c r="AH4" s="114" t="s">
        <v>2</v>
      </c>
      <c r="AI4" s="114"/>
      <c r="AJ4" s="114"/>
      <c r="AK4" s="114"/>
    </row>
    <row r="5" spans="1:37" x14ac:dyDescent="0.25">
      <c r="A5" s="4" t="s">
        <v>34</v>
      </c>
      <c r="C5">
        <v>0</v>
      </c>
      <c r="D5">
        <v>0</v>
      </c>
      <c r="E5">
        <v>0</v>
      </c>
      <c r="F5">
        <v>0</v>
      </c>
      <c r="G5" s="6"/>
      <c r="H5" s="5">
        <v>42125</v>
      </c>
      <c r="I5" s="5">
        <v>42491</v>
      </c>
      <c r="J5" s="5">
        <v>42856</v>
      </c>
      <c r="K5" s="5">
        <v>43221</v>
      </c>
      <c r="M5" s="5">
        <v>42125</v>
      </c>
      <c r="N5" s="5">
        <v>42491</v>
      </c>
      <c r="O5" s="5">
        <v>42856</v>
      </c>
      <c r="P5" s="5">
        <v>43221</v>
      </c>
      <c r="R5" s="7">
        <f>M5</f>
        <v>42125</v>
      </c>
      <c r="S5" s="7">
        <f>N5</f>
        <v>42491</v>
      </c>
      <c r="T5" s="7">
        <f>O5</f>
        <v>42856</v>
      </c>
      <c r="U5" s="7">
        <f>P5</f>
        <v>43221</v>
      </c>
      <c r="V5" s="8"/>
      <c r="W5" s="7">
        <f>R5</f>
        <v>42125</v>
      </c>
      <c r="X5" s="7">
        <f t="shared" ref="X5:Z5" si="0">S5</f>
        <v>42491</v>
      </c>
      <c r="Y5" s="7">
        <f t="shared" si="0"/>
        <v>42856</v>
      </c>
      <c r="Z5" s="7">
        <f t="shared" si="0"/>
        <v>43221</v>
      </c>
      <c r="AB5" s="7">
        <f>W5</f>
        <v>42125</v>
      </c>
      <c r="AC5" s="7">
        <f>X5</f>
        <v>42491</v>
      </c>
      <c r="AD5" s="7">
        <f>Y5</f>
        <v>42856</v>
      </c>
      <c r="AE5" s="7">
        <f>Z5</f>
        <v>43221</v>
      </c>
      <c r="AG5" s="7">
        <f>AB5</f>
        <v>42125</v>
      </c>
      <c r="AH5" s="7">
        <f>AC5</f>
        <v>42491</v>
      </c>
      <c r="AI5" s="7">
        <f>AD5</f>
        <v>42856</v>
      </c>
      <c r="AJ5" s="7">
        <f>AE5</f>
        <v>43221</v>
      </c>
    </row>
    <row r="6" spans="1:37" x14ac:dyDescent="0.25">
      <c r="A6" s="16" t="s">
        <v>46</v>
      </c>
      <c r="B6" s="100">
        <v>273342</v>
      </c>
      <c r="C6" s="101">
        <v>313350</v>
      </c>
      <c r="D6" s="17"/>
      <c r="E6" s="17"/>
      <c r="F6" s="17"/>
      <c r="G6" s="18"/>
      <c r="H6" s="12">
        <f t="shared" ref="H6:H11" si="1">C6/B6-1</f>
        <v>0.14636609083126628</v>
      </c>
      <c r="I6" s="12">
        <f t="shared" ref="I6:I11" si="2">D6/B6-1</f>
        <v>-1</v>
      </c>
      <c r="J6" s="12">
        <f t="shared" ref="J6:J11" si="3">E6/B6-1</f>
        <v>-1</v>
      </c>
      <c r="K6" s="12">
        <f t="shared" ref="K6:K11" si="4">F6/B6-1</f>
        <v>-1</v>
      </c>
      <c r="L6" s="15"/>
      <c r="M6" s="3">
        <f t="shared" ref="M6:P9" si="5">C6-$B6</f>
        <v>40008</v>
      </c>
      <c r="N6" s="3">
        <f t="shared" si="5"/>
        <v>-273342</v>
      </c>
      <c r="O6" s="3">
        <f t="shared" si="5"/>
        <v>-273342</v>
      </c>
      <c r="P6" s="3">
        <f t="shared" si="5"/>
        <v>-273342</v>
      </c>
      <c r="R6" s="13">
        <f>(C6*1.057)-$B$6</f>
        <v>57868.949999999953</v>
      </c>
      <c r="S6" s="13">
        <f>(D6*1.057)-$B$6</f>
        <v>-273342</v>
      </c>
      <c r="T6" s="13">
        <f>(E6*1.057)-$B$6</f>
        <v>-273342</v>
      </c>
      <c r="U6" s="13">
        <f>(F6*1.057)-$B$6</f>
        <v>-273342</v>
      </c>
      <c r="V6" s="14"/>
      <c r="W6" s="12">
        <f>R6/$C$6</f>
        <v>0.18467831498324541</v>
      </c>
      <c r="X6" s="12">
        <f>S6/$C$6</f>
        <v>-0.87232168501675444</v>
      </c>
      <c r="Y6" s="12">
        <f>T6/$C$6</f>
        <v>-0.87232168501675444</v>
      </c>
      <c r="Z6" s="12">
        <f>U6/$C$6</f>
        <v>-0.87232168501675444</v>
      </c>
      <c r="AB6" s="13">
        <f>(C6*1.057)-($B$6/1.0423)</f>
        <v>68962.077314592665</v>
      </c>
      <c r="AC6" s="13">
        <f>(D6*1.057)-($B$6/1.0423)</f>
        <v>-262248.87268540729</v>
      </c>
      <c r="AD6" s="13">
        <f>(E6*1.057)-($B$6/1.0423)</f>
        <v>-262248.87268540729</v>
      </c>
      <c r="AE6" s="13">
        <f>(F6*1.057)-($B$6/1.0423)</f>
        <v>-262248.87268540729</v>
      </c>
      <c r="AG6" s="12">
        <f>AB6/$C$6</f>
        <v>0.22008002972584223</v>
      </c>
      <c r="AH6" s="12">
        <f>AC6/$C$6</f>
        <v>-0.83691997027415765</v>
      </c>
      <c r="AI6" s="12">
        <f>AD6/$C$6</f>
        <v>-0.83691997027415765</v>
      </c>
      <c r="AJ6" s="12">
        <f>AE6/$C$6</f>
        <v>-0.83691997027415765</v>
      </c>
      <c r="AK6" s="12"/>
    </row>
    <row r="7" spans="1:37" x14ac:dyDescent="0.25">
      <c r="A7" s="9" t="s">
        <v>45</v>
      </c>
      <c r="B7" s="100">
        <v>278350</v>
      </c>
      <c r="C7" s="101">
        <v>318507</v>
      </c>
      <c r="D7" s="11"/>
      <c r="E7" s="11"/>
      <c r="F7" s="11"/>
      <c r="G7" s="4"/>
      <c r="H7" s="12">
        <f t="shared" si="1"/>
        <v>0.14426800790371841</v>
      </c>
      <c r="I7" s="12">
        <f t="shared" si="2"/>
        <v>-1</v>
      </c>
      <c r="J7" s="12">
        <f t="shared" si="3"/>
        <v>-1</v>
      </c>
      <c r="K7" s="12">
        <f t="shared" si="4"/>
        <v>-1</v>
      </c>
      <c r="L7" s="15"/>
      <c r="M7" s="3">
        <f t="shared" si="5"/>
        <v>40157</v>
      </c>
      <c r="N7" s="3">
        <f t="shared" si="5"/>
        <v>-278350</v>
      </c>
      <c r="O7" s="3">
        <f t="shared" si="5"/>
        <v>-278350</v>
      </c>
      <c r="P7" s="3">
        <f t="shared" si="5"/>
        <v>-278350</v>
      </c>
      <c r="R7" s="13">
        <f>(C7*1.057)-$B$7</f>
        <v>58311.898999999976</v>
      </c>
      <c r="S7" s="13">
        <f>(D7*1.057)-$B$7</f>
        <v>-278350</v>
      </c>
      <c r="T7" s="13">
        <f>(E7*1.057)-$B$7</f>
        <v>-278350</v>
      </c>
      <c r="U7" s="13">
        <f>(F7*1.057)-$B$7</f>
        <v>-278350</v>
      </c>
      <c r="V7" s="14"/>
      <c r="W7" s="12">
        <f>R7/$C$7</f>
        <v>0.18307886168906798</v>
      </c>
      <c r="X7" s="12">
        <f>S7/$C$7</f>
        <v>-0.87392113831093199</v>
      </c>
      <c r="Y7" s="12">
        <f>T7/$C$7</f>
        <v>-0.87392113831093199</v>
      </c>
      <c r="Z7" s="12">
        <f>U7/$C$7</f>
        <v>-0.87392113831093199</v>
      </c>
      <c r="AB7" s="13">
        <f>(C7*1.057)-($B$7/1.0423)</f>
        <v>69608.267607886402</v>
      </c>
      <c r="AC7" s="13">
        <f>(D7*1.057)-($B$7/1.0423)</f>
        <v>-267053.63139211357</v>
      </c>
      <c r="AD7" s="13">
        <f>(E7*1.057)-($B$7/1.0423)</f>
        <v>-267053.63139211357</v>
      </c>
      <c r="AE7" s="13">
        <f>(F7*1.057)-($B$7/1.0423)</f>
        <v>-267053.63139211357</v>
      </c>
      <c r="AG7" s="12">
        <f>AB7/$C$7</f>
        <v>0.21854548756506575</v>
      </c>
      <c r="AH7" s="12">
        <f>AC7/$C$7</f>
        <v>-0.83845451243493418</v>
      </c>
      <c r="AI7" s="12">
        <f>AD7/$C$7</f>
        <v>-0.83845451243493418</v>
      </c>
      <c r="AJ7" s="12">
        <f>AE7/$C$7</f>
        <v>-0.83845451243493418</v>
      </c>
      <c r="AK7" s="12"/>
    </row>
    <row r="8" spans="1:37" x14ac:dyDescent="0.25">
      <c r="A8" s="9" t="s">
        <v>47</v>
      </c>
      <c r="B8" s="100">
        <v>283507</v>
      </c>
      <c r="C8" s="101">
        <v>323819</v>
      </c>
      <c r="D8" s="11"/>
      <c r="E8" s="11"/>
      <c r="F8" s="11"/>
      <c r="G8" s="4"/>
      <c r="H8" s="12">
        <f t="shared" si="1"/>
        <v>0.14219049265097516</v>
      </c>
      <c r="I8" s="12">
        <f t="shared" si="2"/>
        <v>-1</v>
      </c>
      <c r="J8" s="12">
        <f t="shared" si="3"/>
        <v>-1</v>
      </c>
      <c r="K8" s="12">
        <f t="shared" si="4"/>
        <v>-1</v>
      </c>
      <c r="L8" s="15"/>
      <c r="M8" s="3">
        <f t="shared" si="5"/>
        <v>40312</v>
      </c>
      <c r="N8" s="3">
        <f t="shared" si="5"/>
        <v>-283507</v>
      </c>
      <c r="O8" s="3">
        <f t="shared" si="5"/>
        <v>-283507</v>
      </c>
      <c r="P8" s="3">
        <f t="shared" si="5"/>
        <v>-283507</v>
      </c>
      <c r="R8" s="13">
        <f>(C8*1.057)-$B$8</f>
        <v>58769.682999999961</v>
      </c>
      <c r="S8" s="13">
        <f>(D8*1.057)-$B$8</f>
        <v>-283507</v>
      </c>
      <c r="T8" s="13">
        <f>(E8*1.057)-$B$8</f>
        <v>-283507</v>
      </c>
      <c r="U8" s="13">
        <f>(F8*1.057)-$B$8</f>
        <v>-283507</v>
      </c>
      <c r="V8" s="14"/>
      <c r="W8" s="12">
        <f>R8/$C$8</f>
        <v>0.181489298033778</v>
      </c>
      <c r="X8" s="12">
        <f>S8/$C$8</f>
        <v>-0.87551070196622183</v>
      </c>
      <c r="Y8" s="12">
        <f>T8/$C$8</f>
        <v>-0.87551070196622183</v>
      </c>
      <c r="Z8" s="12">
        <f>U8/$C$8</f>
        <v>-0.87551070196622183</v>
      </c>
      <c r="AB8" s="13">
        <f>(C8*1.057)-($B$8/1.0423)</f>
        <v>70275.33981665544</v>
      </c>
      <c r="AC8" s="13">
        <f>(D8*1.057)-($B$8/1.0423)</f>
        <v>-272001.34318334452</v>
      </c>
      <c r="AD8" s="13">
        <f>(E8*1.057)-($B$8/1.0423)</f>
        <v>-272001.34318334452</v>
      </c>
      <c r="AE8" s="13">
        <f>(F8*1.057)-($B$8/1.0423)</f>
        <v>-272001.34318334452</v>
      </c>
      <c r="AG8" s="12">
        <f>AB8/$C$8</f>
        <v>0.21702043368874413</v>
      </c>
      <c r="AH8" s="12">
        <f>AC8/$C$8</f>
        <v>-0.8399795663112557</v>
      </c>
      <c r="AI8" s="12">
        <f>AD8/$C$8</f>
        <v>-0.8399795663112557</v>
      </c>
      <c r="AJ8" s="12">
        <f>AE8/$C$8</f>
        <v>-0.8399795663112557</v>
      </c>
      <c r="AK8" s="12"/>
    </row>
    <row r="9" spans="1:37" x14ac:dyDescent="0.25">
      <c r="A9" s="9" t="s">
        <v>48</v>
      </c>
      <c r="B9" s="100">
        <v>288819</v>
      </c>
      <c r="C9" s="101">
        <v>334269</v>
      </c>
      <c r="D9" s="11"/>
      <c r="E9" s="11"/>
      <c r="F9" s="11"/>
      <c r="G9" s="18"/>
      <c r="H9" s="12">
        <f t="shared" si="1"/>
        <v>0.15736499330030229</v>
      </c>
      <c r="I9" s="12">
        <f t="shared" si="2"/>
        <v>-1</v>
      </c>
      <c r="J9" s="12">
        <f t="shared" si="3"/>
        <v>-1</v>
      </c>
      <c r="K9" s="12">
        <f t="shared" si="4"/>
        <v>-1</v>
      </c>
      <c r="L9" s="15"/>
      <c r="M9" s="3">
        <f t="shared" si="5"/>
        <v>45450</v>
      </c>
      <c r="N9" s="3">
        <f t="shared" si="5"/>
        <v>-288819</v>
      </c>
      <c r="O9" s="3">
        <f t="shared" si="5"/>
        <v>-288819</v>
      </c>
      <c r="P9" s="3">
        <f t="shared" si="5"/>
        <v>-288819</v>
      </c>
      <c r="R9" s="13">
        <f>(C9*1.057)-$B$9</f>
        <v>64503.332999999984</v>
      </c>
      <c r="S9" s="13">
        <f>(D9*1.057)-$B$9</f>
        <v>-288819</v>
      </c>
      <c r="T9" s="13">
        <f>(E9*1.057)-$B$9</f>
        <v>-288819</v>
      </c>
      <c r="U9" s="13">
        <f>(F9*1.057)-$B$9</f>
        <v>-288819</v>
      </c>
      <c r="V9" s="14"/>
      <c r="W9" s="12">
        <f>R9/$C$9</f>
        <v>0.19296833687838233</v>
      </c>
      <c r="X9" s="12">
        <f>S9/$C$9</f>
        <v>-0.86403166312161761</v>
      </c>
      <c r="Y9" s="12">
        <f>T9/$C$9</f>
        <v>-0.86403166312161761</v>
      </c>
      <c r="Z9" s="12">
        <f>U9/$C$9</f>
        <v>-0.86403166312161761</v>
      </c>
      <c r="AB9" s="13">
        <f>(C9*1.057)-($B$9/1.0423)</f>
        <v>76224.56844085193</v>
      </c>
      <c r="AC9" s="13">
        <f>(D9*1.057)-($B$9/1.0423)</f>
        <v>-277097.76455914805</v>
      </c>
      <c r="AD9" s="13">
        <f>(E9*1.057)-($B$9/1.0423)</f>
        <v>-277097.76455914805</v>
      </c>
      <c r="AE9" s="13">
        <f>(F9*1.057)-($B$9/1.0423)</f>
        <v>-277097.76455914805</v>
      </c>
      <c r="AG9" s="12">
        <f>AB9/$C$9</f>
        <v>0.22803361496534805</v>
      </c>
      <c r="AH9" s="12">
        <f>AC9/$C$9</f>
        <v>-0.82896638503465192</v>
      </c>
      <c r="AI9" s="12">
        <f>AD9/$C$9</f>
        <v>-0.82896638503465192</v>
      </c>
      <c r="AJ9" s="12">
        <f>AE9/$C$9</f>
        <v>-0.82896638503465192</v>
      </c>
      <c r="AK9" s="12"/>
    </row>
    <row r="10" spans="1:37" x14ac:dyDescent="0.25">
      <c r="A10" s="9" t="s">
        <v>49</v>
      </c>
      <c r="B10" s="100">
        <v>294269.11200000002</v>
      </c>
      <c r="C10" s="105">
        <v>334269</v>
      </c>
      <c r="D10" s="11"/>
      <c r="E10" s="11"/>
      <c r="F10" s="11"/>
      <c r="G10" s="18"/>
      <c r="H10" s="12"/>
      <c r="I10" s="12"/>
      <c r="J10" s="12"/>
      <c r="K10" s="12"/>
      <c r="L10" s="15"/>
      <c r="M10" s="3"/>
      <c r="N10" s="3"/>
      <c r="O10" s="3"/>
      <c r="P10" s="3"/>
      <c r="R10" s="13"/>
      <c r="S10" s="13"/>
      <c r="T10" s="13"/>
      <c r="U10" s="13"/>
      <c r="V10" s="14"/>
      <c r="W10" s="12"/>
      <c r="X10" s="12"/>
      <c r="Y10" s="12"/>
      <c r="Z10" s="12"/>
      <c r="AB10" s="13"/>
      <c r="AC10" s="13"/>
      <c r="AD10" s="13"/>
      <c r="AE10" s="13"/>
      <c r="AG10" s="12"/>
      <c r="AH10" s="12"/>
      <c r="AI10" s="12"/>
      <c r="AJ10" s="12"/>
      <c r="AK10" s="12"/>
    </row>
    <row r="11" spans="1:37" x14ac:dyDescent="0.25">
      <c r="A11" s="92" t="s">
        <v>56</v>
      </c>
      <c r="B11" s="11"/>
      <c r="C11" s="102">
        <v>348241</v>
      </c>
      <c r="D11" s="11"/>
      <c r="E11" s="11"/>
      <c r="F11" s="11"/>
      <c r="G11" s="1"/>
      <c r="H11" s="12" t="e">
        <f t="shared" si="1"/>
        <v>#DIV/0!</v>
      </c>
      <c r="I11" s="12" t="e">
        <f t="shared" si="2"/>
        <v>#DIV/0!</v>
      </c>
      <c r="J11" s="12" t="e">
        <f t="shared" si="3"/>
        <v>#DIV/0!</v>
      </c>
      <c r="K11" s="12" t="e">
        <f t="shared" si="4"/>
        <v>#DIV/0!</v>
      </c>
      <c r="L11" s="15"/>
      <c r="M11" s="3">
        <f>C11-$B11</f>
        <v>348241</v>
      </c>
      <c r="N11" s="3">
        <f>D11-$B11</f>
        <v>0</v>
      </c>
      <c r="O11" s="3">
        <f>E11-$B11</f>
        <v>0</v>
      </c>
      <c r="P11" s="3">
        <f>F11-$B11</f>
        <v>0</v>
      </c>
      <c r="R11" s="13">
        <f>(C11*1.057)-$B$11</f>
        <v>368090.73699999996</v>
      </c>
      <c r="S11" s="13">
        <f>(D11*1.057)-$B$11</f>
        <v>0</v>
      </c>
      <c r="T11" s="13">
        <f>(E11*1.057)-$B$11</f>
        <v>0</v>
      </c>
      <c r="U11" s="13">
        <f>(F11*1.057)-$B$11</f>
        <v>0</v>
      </c>
      <c r="V11" s="14"/>
      <c r="W11" s="12">
        <f>R11/$C$11</f>
        <v>1.0569999999999999</v>
      </c>
      <c r="X11" s="12">
        <f>S11/$C$11</f>
        <v>0</v>
      </c>
      <c r="Y11" s="12">
        <f>T11/$C$11</f>
        <v>0</v>
      </c>
      <c r="Z11" s="12">
        <f>U11/$C$11</f>
        <v>0</v>
      </c>
      <c r="AB11" s="13">
        <f>(C11*1.057)-($B$11/1.0423)</f>
        <v>368090.73699999996</v>
      </c>
      <c r="AC11" s="13">
        <f>(D11*1.057)-($B$11/1.0423)</f>
        <v>0</v>
      </c>
      <c r="AD11" s="13">
        <f>(E11*1.057)-($B$11/1.0423)</f>
        <v>0</v>
      </c>
      <c r="AE11" s="13">
        <f>(F11*1.057)-($B$11/1.0423)</f>
        <v>0</v>
      </c>
      <c r="AG11" s="12">
        <f>AB11/$C$11</f>
        <v>1.0569999999999999</v>
      </c>
      <c r="AH11" s="12">
        <f>AC11/$C$11</f>
        <v>0</v>
      </c>
      <c r="AI11" s="12">
        <f>AD11/$C$11</f>
        <v>0</v>
      </c>
      <c r="AJ11" s="12">
        <f>AE11/$C$11</f>
        <v>0</v>
      </c>
      <c r="AK11" s="12"/>
    </row>
    <row r="12" spans="1:37" x14ac:dyDescent="0.25">
      <c r="A12" s="92" t="s">
        <v>50</v>
      </c>
      <c r="B12" s="107">
        <v>250208</v>
      </c>
      <c r="C12" s="103">
        <v>285208</v>
      </c>
      <c r="D12" s="11"/>
      <c r="E12" s="11"/>
      <c r="F12" s="11"/>
      <c r="G12" s="1"/>
      <c r="H12" s="12"/>
      <c r="I12" s="12"/>
      <c r="J12" s="12"/>
      <c r="K12" s="12"/>
      <c r="L12" s="15"/>
      <c r="M12" s="3"/>
      <c r="N12" s="3"/>
      <c r="O12" s="3"/>
      <c r="P12" s="3"/>
      <c r="R12" s="13"/>
      <c r="S12" s="13"/>
      <c r="T12" s="13"/>
      <c r="U12" s="13"/>
      <c r="V12" s="14"/>
      <c r="W12" s="12"/>
      <c r="X12" s="12"/>
      <c r="Y12" s="12"/>
      <c r="Z12" s="12"/>
      <c r="AB12" s="13"/>
      <c r="AC12" s="13"/>
      <c r="AD12" s="13"/>
      <c r="AE12" s="13"/>
      <c r="AG12" s="12"/>
      <c r="AH12" s="12"/>
      <c r="AI12" s="12"/>
      <c r="AJ12" s="12"/>
      <c r="AK12" s="12"/>
    </row>
    <row r="13" spans="1:37" x14ac:dyDescent="0.25">
      <c r="A13" s="92" t="s">
        <v>51</v>
      </c>
      <c r="B13" s="107">
        <v>254715</v>
      </c>
      <c r="C13" s="103">
        <v>289715</v>
      </c>
      <c r="D13" s="11"/>
      <c r="E13" s="11"/>
      <c r="F13" s="11"/>
      <c r="G13" s="1"/>
      <c r="H13" s="12"/>
      <c r="I13" s="12"/>
      <c r="J13" s="12"/>
      <c r="K13" s="12"/>
      <c r="L13" s="15"/>
      <c r="M13" s="3"/>
      <c r="N13" s="3"/>
      <c r="O13" s="3"/>
      <c r="P13" s="3"/>
      <c r="R13" s="13"/>
      <c r="S13" s="13"/>
      <c r="T13" s="13"/>
      <c r="U13" s="13"/>
      <c r="V13" s="14"/>
      <c r="W13" s="12"/>
      <c r="X13" s="12"/>
      <c r="Y13" s="12"/>
      <c r="Z13" s="12"/>
      <c r="AB13" s="13"/>
      <c r="AC13" s="13"/>
      <c r="AD13" s="13"/>
      <c r="AE13" s="13"/>
      <c r="AG13" s="12"/>
      <c r="AH13" s="12"/>
      <c r="AI13" s="12"/>
      <c r="AJ13" s="12"/>
      <c r="AK13" s="12"/>
    </row>
    <row r="14" spans="1:37" x14ac:dyDescent="0.25">
      <c r="A14" s="92" t="s">
        <v>52</v>
      </c>
      <c r="B14" s="106">
        <v>208358</v>
      </c>
      <c r="C14" s="104">
        <v>233358</v>
      </c>
      <c r="D14" s="11"/>
      <c r="E14" s="11"/>
      <c r="F14" s="11"/>
      <c r="G14" s="1"/>
      <c r="H14" s="12"/>
      <c r="I14" s="12"/>
      <c r="J14" s="12"/>
      <c r="K14" s="12"/>
      <c r="L14" s="15"/>
      <c r="M14" s="3"/>
      <c r="N14" s="3"/>
      <c r="O14" s="3"/>
      <c r="P14" s="3"/>
      <c r="R14" s="13"/>
      <c r="S14" s="13"/>
      <c r="T14" s="13"/>
      <c r="U14" s="13"/>
      <c r="V14" s="14"/>
      <c r="W14" s="12"/>
      <c r="X14" s="12"/>
      <c r="Y14" s="12"/>
      <c r="Z14" s="12"/>
      <c r="AB14" s="13"/>
      <c r="AC14" s="13"/>
      <c r="AD14" s="13"/>
      <c r="AE14" s="13"/>
      <c r="AG14" s="12"/>
      <c r="AH14" s="12"/>
      <c r="AI14" s="12"/>
      <c r="AJ14" s="12"/>
      <c r="AK14" s="12"/>
    </row>
    <row r="15" spans="1:37" x14ac:dyDescent="0.25">
      <c r="A15" s="92" t="s">
        <v>53</v>
      </c>
      <c r="B15" s="106">
        <v>211692</v>
      </c>
      <c r="C15" s="104">
        <v>236692</v>
      </c>
      <c r="D15" s="20"/>
      <c r="E15" s="20"/>
      <c r="F15" s="20"/>
      <c r="G15" s="1"/>
      <c r="H15" s="12"/>
      <c r="I15" s="12"/>
      <c r="J15" s="12"/>
      <c r="K15" s="12"/>
      <c r="L15" s="15"/>
      <c r="M15" s="3"/>
      <c r="N15" s="3"/>
      <c r="O15" s="3"/>
      <c r="P15" s="3"/>
      <c r="R15" s="13"/>
      <c r="S15" s="13"/>
      <c r="T15" s="13"/>
      <c r="U15" s="13"/>
      <c r="V15" s="14"/>
      <c r="W15" s="12"/>
      <c r="X15" s="12"/>
      <c r="Y15" s="12"/>
      <c r="Z15" s="12"/>
      <c r="AB15" s="13"/>
      <c r="AC15" s="13"/>
      <c r="AD15" s="13"/>
      <c r="AE15" s="13"/>
      <c r="AG15" s="12"/>
      <c r="AH15" s="12"/>
      <c r="AI15" s="12"/>
      <c r="AJ15" s="12"/>
      <c r="AK15" s="12"/>
    </row>
    <row r="16" spans="1:37" x14ac:dyDescent="0.25">
      <c r="A16" s="92" t="s">
        <v>54</v>
      </c>
      <c r="B16" s="106">
        <v>215128</v>
      </c>
      <c r="C16" s="104">
        <v>240128</v>
      </c>
      <c r="D16" s="11"/>
      <c r="E16" s="11"/>
      <c r="F16" s="11"/>
      <c r="G16" s="1"/>
      <c r="H16" s="12"/>
      <c r="I16" s="12"/>
      <c r="J16" s="12"/>
      <c r="K16" s="12"/>
      <c r="L16" s="15"/>
      <c r="M16" s="3"/>
      <c r="N16" s="3"/>
      <c r="O16" s="3"/>
      <c r="P16" s="3"/>
      <c r="R16" s="13"/>
      <c r="S16" s="13"/>
      <c r="T16" s="13"/>
      <c r="U16" s="13"/>
      <c r="V16" s="14"/>
      <c r="W16" s="12"/>
      <c r="X16" s="12"/>
      <c r="Y16" s="12"/>
      <c r="Z16" s="12"/>
      <c r="AB16" s="13"/>
      <c r="AC16" s="13"/>
      <c r="AD16" s="13"/>
      <c r="AE16" s="13"/>
      <c r="AG16" s="12"/>
      <c r="AH16" s="12"/>
      <c r="AI16" s="12"/>
      <c r="AJ16" s="12"/>
      <c r="AK16" s="12"/>
    </row>
    <row r="17" spans="1:16" x14ac:dyDescent="0.25">
      <c r="A17" s="92" t="s">
        <v>55</v>
      </c>
      <c r="B17" s="106">
        <v>218665</v>
      </c>
      <c r="C17" s="104">
        <v>243665</v>
      </c>
      <c r="D17" s="1"/>
      <c r="E17" s="1"/>
      <c r="F17" s="1"/>
      <c r="G17" s="22"/>
      <c r="H17" s="4"/>
      <c r="I17" s="23"/>
    </row>
    <row r="18" spans="1:16" x14ac:dyDescent="0.25">
      <c r="A18" s="21" t="s">
        <v>57</v>
      </c>
      <c r="B18" s="108">
        <v>215735</v>
      </c>
      <c r="C18" s="105">
        <v>240735</v>
      </c>
      <c r="D18" s="10"/>
      <c r="E18" s="24"/>
      <c r="F18" s="22"/>
      <c r="G18" s="25"/>
      <c r="H18" s="4"/>
    </row>
    <row r="19" spans="1:16" x14ac:dyDescent="0.25">
      <c r="A19" s="21" t="s">
        <v>58</v>
      </c>
      <c r="B19" s="108">
        <v>216875</v>
      </c>
      <c r="C19" s="105">
        <v>241875</v>
      </c>
      <c r="D19" s="27"/>
      <c r="E19" s="28"/>
      <c r="F19" s="28"/>
      <c r="G19" s="25"/>
      <c r="H19" s="4"/>
    </row>
    <row r="20" spans="1:16" x14ac:dyDescent="0.25">
      <c r="A20" s="21" t="s">
        <v>59</v>
      </c>
      <c r="B20" s="108">
        <v>219155</v>
      </c>
      <c r="C20" s="105">
        <v>244155</v>
      </c>
      <c r="D20" s="27"/>
      <c r="E20" s="28"/>
      <c r="F20" s="28"/>
      <c r="G20" s="29"/>
      <c r="H20" s="6"/>
    </row>
    <row r="21" spans="1:16" x14ac:dyDescent="0.25">
      <c r="A21" s="21" t="s">
        <v>60</v>
      </c>
      <c r="B21" s="108">
        <v>222574</v>
      </c>
      <c r="C21" s="105">
        <v>247574</v>
      </c>
      <c r="D21" s="5"/>
      <c r="E21" s="5"/>
      <c r="F21" s="5"/>
      <c r="G21" s="4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30"/>
      <c r="B22" s="11"/>
      <c r="C22" s="11"/>
      <c r="D22" s="11"/>
      <c r="E22" s="11"/>
      <c r="F22" s="11"/>
      <c r="G22" s="4"/>
      <c r="H22" s="12"/>
      <c r="I22" s="12"/>
      <c r="J22" s="12"/>
      <c r="K22" s="12"/>
      <c r="L22" s="15"/>
      <c r="M22" s="3"/>
      <c r="N22" s="3"/>
      <c r="O22" s="3"/>
      <c r="P22" s="3"/>
    </row>
    <row r="23" spans="1:16" x14ac:dyDescent="0.25">
      <c r="A23" s="30"/>
      <c r="B23" s="11"/>
      <c r="C23" s="11"/>
      <c r="D23" s="11"/>
      <c r="E23" s="11"/>
      <c r="F23" s="11"/>
      <c r="G23" s="4"/>
      <c r="H23" s="12"/>
      <c r="I23" s="12"/>
      <c r="J23" s="12"/>
      <c r="K23" s="12"/>
      <c r="L23" s="15"/>
      <c r="M23" s="3"/>
      <c r="N23" s="3"/>
      <c r="O23" s="3"/>
      <c r="P23" s="3"/>
    </row>
    <row r="24" spans="1:16" x14ac:dyDescent="0.25">
      <c r="A24" s="19"/>
      <c r="B24" s="26"/>
      <c r="C24" s="31"/>
      <c r="D24" s="24"/>
      <c r="E24" s="22"/>
      <c r="F24" s="22"/>
      <c r="G24" s="4"/>
    </row>
    <row r="25" spans="1:16" x14ac:dyDescent="0.25">
      <c r="A25" s="26"/>
      <c r="B25" s="26"/>
      <c r="C25" s="27"/>
      <c r="D25" s="28"/>
      <c r="E25" s="28"/>
      <c r="F25" s="28"/>
      <c r="G25" s="4"/>
    </row>
    <row r="26" spans="1:16" x14ac:dyDescent="0.25">
      <c r="A26" s="26"/>
      <c r="B26" s="4"/>
      <c r="C26" s="27"/>
      <c r="D26" s="28"/>
      <c r="E26" s="28"/>
      <c r="F26" s="28"/>
      <c r="G26" s="6"/>
    </row>
    <row r="27" spans="1:16" x14ac:dyDescent="0.25">
      <c r="A27" s="4"/>
      <c r="B27" s="5"/>
      <c r="C27" s="5"/>
      <c r="D27" s="5"/>
      <c r="E27" s="5"/>
      <c r="F27" s="5"/>
      <c r="G27" s="4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30"/>
      <c r="B28" s="11"/>
      <c r="C28" s="11"/>
      <c r="D28" s="11"/>
      <c r="E28" s="11"/>
      <c r="F28" s="11"/>
      <c r="G28" s="4"/>
      <c r="H28" s="12"/>
      <c r="I28" s="12"/>
      <c r="J28" s="12"/>
      <c r="K28" s="12"/>
      <c r="L28" s="15"/>
      <c r="M28" s="3"/>
      <c r="N28" s="3"/>
      <c r="O28" s="3"/>
      <c r="P28" s="3"/>
    </row>
    <row r="29" spans="1:16" x14ac:dyDescent="0.25">
      <c r="A29" s="30"/>
      <c r="B29" s="11"/>
      <c r="C29" s="11"/>
      <c r="D29" s="11"/>
      <c r="E29" s="11"/>
      <c r="F29" s="11"/>
      <c r="G29" s="4"/>
      <c r="H29" s="12"/>
      <c r="I29" s="12"/>
      <c r="J29" s="12"/>
      <c r="K29" s="12"/>
      <c r="L29" s="15"/>
      <c r="M29" s="3"/>
      <c r="N29" s="3"/>
      <c r="O29" s="3"/>
      <c r="P29" s="3"/>
    </row>
    <row r="30" spans="1:16" x14ac:dyDescent="0.25">
      <c r="A30" s="30"/>
      <c r="B30" s="11"/>
      <c r="C30" s="11"/>
      <c r="D30" s="11"/>
      <c r="E30" s="11"/>
      <c r="F30" s="11"/>
      <c r="G30" s="4"/>
      <c r="H30" s="12"/>
      <c r="I30" s="12"/>
      <c r="J30" s="12"/>
      <c r="K30" s="12"/>
      <c r="L30" s="15"/>
      <c r="M30" s="3"/>
      <c r="N30" s="3"/>
      <c r="O30" s="3"/>
      <c r="P30" s="3"/>
    </row>
    <row r="31" spans="1:16" x14ac:dyDescent="0.25">
      <c r="A31" s="19"/>
      <c r="B31" s="11"/>
      <c r="C31" s="11"/>
      <c r="D31" s="11"/>
      <c r="E31" s="11"/>
      <c r="F31" s="11"/>
      <c r="G31" s="4"/>
    </row>
    <row r="32" spans="1:16" x14ac:dyDescent="0.25">
      <c r="A32" s="26"/>
      <c r="B32" s="19"/>
      <c r="C32" s="4"/>
      <c r="D32" s="4"/>
      <c r="E32" s="4"/>
      <c r="F32" s="4"/>
      <c r="G32" s="4"/>
    </row>
    <row r="33" spans="1:16" x14ac:dyDescent="0.25">
      <c r="A33" s="19"/>
      <c r="B33" s="4"/>
      <c r="C33" s="32"/>
      <c r="D33" s="22"/>
      <c r="E33" s="22"/>
      <c r="F33" s="22"/>
      <c r="G33" s="6"/>
    </row>
    <row r="34" spans="1:16" x14ac:dyDescent="0.25">
      <c r="A34" s="4"/>
      <c r="B34" s="5"/>
      <c r="C34" s="5"/>
      <c r="D34" s="5"/>
      <c r="E34" s="5"/>
      <c r="F34" s="5"/>
      <c r="G34" s="4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30"/>
      <c r="B35" s="11"/>
      <c r="C35" s="11"/>
      <c r="D35" s="11"/>
      <c r="E35" s="11"/>
      <c r="F35" s="11"/>
      <c r="G35" s="4"/>
      <c r="H35" s="12"/>
      <c r="I35" s="12"/>
      <c r="J35" s="12"/>
      <c r="K35" s="12"/>
      <c r="L35" s="15"/>
      <c r="M35" s="3"/>
      <c r="N35" s="3"/>
      <c r="O35" s="3"/>
      <c r="P35" s="3"/>
    </row>
    <row r="36" spans="1:16" x14ac:dyDescent="0.25">
      <c r="A36" s="30"/>
      <c r="B36" s="11"/>
      <c r="C36" s="11"/>
      <c r="D36" s="11"/>
      <c r="E36" s="11"/>
      <c r="F36" s="11"/>
      <c r="G36" s="4"/>
      <c r="H36" s="12"/>
      <c r="I36" s="12"/>
      <c r="J36" s="12"/>
      <c r="K36" s="12"/>
      <c r="L36" s="15"/>
      <c r="M36" s="3"/>
      <c r="N36" s="3"/>
      <c r="O36" s="3"/>
      <c r="P36" s="3"/>
    </row>
    <row r="37" spans="1:16" x14ac:dyDescent="0.25">
      <c r="A37" s="30"/>
      <c r="B37" s="11"/>
      <c r="C37" s="11"/>
      <c r="D37" s="11"/>
      <c r="E37" s="11"/>
      <c r="F37" s="11"/>
      <c r="H37" s="12"/>
      <c r="I37" s="12"/>
      <c r="J37" s="12"/>
      <c r="K37" s="12"/>
      <c r="L37" s="15"/>
      <c r="M37" s="3"/>
      <c r="N37" s="3"/>
      <c r="O37" s="3"/>
      <c r="P37" s="3"/>
    </row>
    <row r="45" spans="1:16" ht="30" x14ac:dyDescent="0.25">
      <c r="A45" s="33"/>
      <c r="B45" s="34">
        <v>42125</v>
      </c>
      <c r="C45" s="34">
        <v>42491</v>
      </c>
      <c r="D45" s="34">
        <v>42856</v>
      </c>
      <c r="E45" s="34">
        <v>43221</v>
      </c>
      <c r="F45" s="35" t="s">
        <v>3</v>
      </c>
    </row>
    <row r="46" spans="1:16" x14ac:dyDescent="0.25">
      <c r="A46" s="36" t="s">
        <v>4</v>
      </c>
      <c r="B46" s="37" t="s">
        <v>5</v>
      </c>
      <c r="C46" s="38">
        <v>5.5E-2</v>
      </c>
      <c r="D46" s="39">
        <v>0.03</v>
      </c>
      <c r="E46" s="39">
        <v>0.02</v>
      </c>
      <c r="F46" s="40"/>
    </row>
    <row r="47" spans="1:16" x14ac:dyDescent="0.25">
      <c r="A47" s="41"/>
      <c r="B47" s="14"/>
      <c r="C47" s="14"/>
      <c r="D47" s="14"/>
      <c r="E47" s="14"/>
      <c r="F47" s="42"/>
    </row>
    <row r="48" spans="1:16" x14ac:dyDescent="0.25">
      <c r="A48" s="43" t="s">
        <v>6</v>
      </c>
      <c r="B48" s="38">
        <v>7.1999999999999995E-2</v>
      </c>
      <c r="C48" s="38">
        <v>5.5E-2</v>
      </c>
      <c r="D48" s="39">
        <v>0.03</v>
      </c>
      <c r="E48" s="39">
        <v>0.02</v>
      </c>
      <c r="F48" s="44">
        <f>((((100*(B48+1))*(1+C48))*(D48+1))*(E48+1))-100</f>
        <v>18.818657599999995</v>
      </c>
    </row>
    <row r="49" spans="1:6" x14ac:dyDescent="0.25">
      <c r="A49" s="41" t="s">
        <v>7</v>
      </c>
      <c r="B49" s="45">
        <v>3.2000000000000001E-2</v>
      </c>
      <c r="C49" s="45">
        <v>5.5E-2</v>
      </c>
      <c r="D49" s="46">
        <v>0.03</v>
      </c>
      <c r="E49" s="46">
        <v>0.02</v>
      </c>
      <c r="F49" s="47">
        <f>((((100*(B49+1))*(1+C49))*(D49+1))*(E49+1))-100</f>
        <v>14.385125599999995</v>
      </c>
    </row>
    <row r="50" spans="1:6" x14ac:dyDescent="0.25">
      <c r="A50" s="43"/>
      <c r="B50" s="38"/>
      <c r="C50" s="38"/>
      <c r="D50" s="39"/>
      <c r="E50" s="39"/>
      <c r="F50" s="44"/>
    </row>
    <row r="55" spans="1:6" x14ac:dyDescent="0.25">
      <c r="B55" s="48"/>
    </row>
    <row r="56" spans="1:6" x14ac:dyDescent="0.25">
      <c r="B56" s="49"/>
    </row>
  </sheetData>
  <mergeCells count="7">
    <mergeCell ref="AH4:AK4"/>
    <mergeCell ref="A1:J1"/>
    <mergeCell ref="A2:J2"/>
    <mergeCell ref="A3:J3"/>
    <mergeCell ref="S4:V4"/>
    <mergeCell ref="X4:AA4"/>
    <mergeCell ref="AC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G20" sqref="G20"/>
    </sheetView>
  </sheetViews>
  <sheetFormatPr defaultRowHeight="15" x14ac:dyDescent="0.25"/>
  <sheetData>
    <row r="1" spans="1:3" x14ac:dyDescent="0.25">
      <c r="B1" s="111" t="s">
        <v>62</v>
      </c>
    </row>
    <row r="2" spans="1:3" x14ac:dyDescent="0.25">
      <c r="B2" s="112"/>
    </row>
    <row r="3" spans="1:3" x14ac:dyDescent="0.25">
      <c r="A3" t="s">
        <v>63</v>
      </c>
      <c r="B3" s="14" t="s">
        <v>64</v>
      </c>
      <c r="C3" s="112" t="s">
        <v>65</v>
      </c>
    </row>
    <row r="4" spans="1:3" x14ac:dyDescent="0.25">
      <c r="B4" s="113">
        <v>290000</v>
      </c>
      <c r="C4" s="23">
        <v>7.1999999999999995E-2</v>
      </c>
    </row>
    <row r="5" spans="1:3" x14ac:dyDescent="0.25">
      <c r="B5" s="113">
        <f>B4+10000</f>
        <v>300000</v>
      </c>
      <c r="C5" s="23">
        <v>7.1999999999999995E-2</v>
      </c>
    </row>
    <row r="6" spans="1:3" x14ac:dyDescent="0.25">
      <c r="A6" s="113">
        <v>300001</v>
      </c>
      <c r="B6" s="113">
        <f>B5+10000</f>
        <v>310000</v>
      </c>
      <c r="C6" s="23">
        <v>7.0999999999999994E-2</v>
      </c>
    </row>
    <row r="7" spans="1:3" x14ac:dyDescent="0.25">
      <c r="A7" s="113">
        <f>A6+10000</f>
        <v>310001</v>
      </c>
      <c r="B7" s="113">
        <f t="shared" ref="B7:B51" si="0">B6+10000</f>
        <v>320000</v>
      </c>
      <c r="C7" s="23">
        <v>7.0000000000000007E-2</v>
      </c>
    </row>
    <row r="8" spans="1:3" x14ac:dyDescent="0.25">
      <c r="A8" s="113">
        <f t="shared" ref="A8:A51" si="1">A7+10000</f>
        <v>320001</v>
      </c>
      <c r="B8" s="113">
        <f t="shared" si="0"/>
        <v>330000</v>
      </c>
      <c r="C8" s="23">
        <v>6.9000000000000006E-2</v>
      </c>
    </row>
    <row r="9" spans="1:3" x14ac:dyDescent="0.25">
      <c r="A9" s="113">
        <f t="shared" si="1"/>
        <v>330001</v>
      </c>
      <c r="B9" s="113">
        <f t="shared" si="0"/>
        <v>340000</v>
      </c>
      <c r="C9" s="23">
        <v>6.8000000000000005E-2</v>
      </c>
    </row>
    <row r="10" spans="1:3" x14ac:dyDescent="0.25">
      <c r="A10" s="113">
        <f t="shared" si="1"/>
        <v>340001</v>
      </c>
      <c r="B10" s="113">
        <f t="shared" si="0"/>
        <v>350000</v>
      </c>
      <c r="C10" s="23">
        <v>6.8000000000000005E-2</v>
      </c>
    </row>
    <row r="11" spans="1:3" x14ac:dyDescent="0.25">
      <c r="A11" s="113">
        <f t="shared" si="1"/>
        <v>350001</v>
      </c>
      <c r="B11" s="113">
        <f t="shared" si="0"/>
        <v>360000</v>
      </c>
      <c r="C11" s="23">
        <v>6.7000000000000004E-2</v>
      </c>
    </row>
    <row r="12" spans="1:3" x14ac:dyDescent="0.25">
      <c r="A12" s="113">
        <f t="shared" si="1"/>
        <v>360001</v>
      </c>
      <c r="B12" s="113">
        <f t="shared" si="0"/>
        <v>370000</v>
      </c>
      <c r="C12" s="23">
        <v>6.6000000000000003E-2</v>
      </c>
    </row>
    <row r="13" spans="1:3" x14ac:dyDescent="0.25">
      <c r="A13" s="113">
        <f t="shared" si="1"/>
        <v>370001</v>
      </c>
      <c r="B13" s="113">
        <f t="shared" si="0"/>
        <v>380000</v>
      </c>
      <c r="C13" s="23">
        <v>6.5000000000000002E-2</v>
      </c>
    </row>
    <row r="14" spans="1:3" x14ac:dyDescent="0.25">
      <c r="A14" s="113">
        <f t="shared" si="1"/>
        <v>380001</v>
      </c>
      <c r="B14" s="113">
        <f t="shared" si="0"/>
        <v>390000</v>
      </c>
      <c r="C14" s="23">
        <v>6.4000000000000001E-2</v>
      </c>
    </row>
    <row r="15" spans="1:3" x14ac:dyDescent="0.25">
      <c r="A15" s="113">
        <f t="shared" si="1"/>
        <v>390001</v>
      </c>
      <c r="B15" s="113">
        <f t="shared" si="0"/>
        <v>400000</v>
      </c>
      <c r="C15" s="23">
        <v>6.3E-2</v>
      </c>
    </row>
    <row r="16" spans="1:3" x14ac:dyDescent="0.25">
      <c r="A16" s="113">
        <f t="shared" si="1"/>
        <v>400001</v>
      </c>
      <c r="B16" s="113">
        <f t="shared" si="0"/>
        <v>410000</v>
      </c>
      <c r="C16" s="23">
        <v>6.2E-2</v>
      </c>
    </row>
    <row r="17" spans="1:3" x14ac:dyDescent="0.25">
      <c r="A17" s="113">
        <f t="shared" si="1"/>
        <v>410001</v>
      </c>
      <c r="B17" s="113">
        <f t="shared" si="0"/>
        <v>420000</v>
      </c>
      <c r="C17" s="23">
        <v>6.0999999999999999E-2</v>
      </c>
    </row>
    <row r="18" spans="1:3" x14ac:dyDescent="0.25">
      <c r="A18" s="113">
        <f t="shared" si="1"/>
        <v>420001</v>
      </c>
      <c r="B18" s="113">
        <f t="shared" si="0"/>
        <v>430000</v>
      </c>
      <c r="C18" s="23">
        <v>6.0999999999999999E-2</v>
      </c>
    </row>
    <row r="19" spans="1:3" x14ac:dyDescent="0.25">
      <c r="A19" s="113">
        <f t="shared" si="1"/>
        <v>430001</v>
      </c>
      <c r="B19" s="113">
        <f t="shared" si="0"/>
        <v>440000</v>
      </c>
      <c r="C19" s="23">
        <v>0.06</v>
      </c>
    </row>
    <row r="20" spans="1:3" x14ac:dyDescent="0.25">
      <c r="A20" s="113">
        <f t="shared" si="1"/>
        <v>440001</v>
      </c>
      <c r="B20" s="113">
        <f t="shared" si="0"/>
        <v>450000</v>
      </c>
      <c r="C20" s="23">
        <v>5.8999999999999997E-2</v>
      </c>
    </row>
    <row r="21" spans="1:3" x14ac:dyDescent="0.25">
      <c r="A21" s="113">
        <f t="shared" si="1"/>
        <v>450001</v>
      </c>
      <c r="B21" s="113">
        <f t="shared" si="0"/>
        <v>460000</v>
      </c>
      <c r="C21" s="23">
        <v>5.8000000000000003E-2</v>
      </c>
    </row>
    <row r="22" spans="1:3" x14ac:dyDescent="0.25">
      <c r="A22" s="113">
        <f t="shared" si="1"/>
        <v>460001</v>
      </c>
      <c r="B22" s="113">
        <f t="shared" si="0"/>
        <v>470000</v>
      </c>
      <c r="C22" s="23">
        <v>5.7000000000000002E-2</v>
      </c>
    </row>
    <row r="23" spans="1:3" x14ac:dyDescent="0.25">
      <c r="A23" s="113">
        <f t="shared" si="1"/>
        <v>470001</v>
      </c>
      <c r="B23" s="113">
        <f t="shared" si="0"/>
        <v>480000</v>
      </c>
      <c r="C23" s="23">
        <v>5.6000000000000001E-2</v>
      </c>
    </row>
    <row r="24" spans="1:3" x14ac:dyDescent="0.25">
      <c r="A24" s="113">
        <f t="shared" si="1"/>
        <v>480001</v>
      </c>
      <c r="B24" s="113">
        <f t="shared" si="0"/>
        <v>490000</v>
      </c>
      <c r="C24" s="23">
        <v>5.5E-2</v>
      </c>
    </row>
    <row r="25" spans="1:3" x14ac:dyDescent="0.25">
      <c r="A25" s="113">
        <f t="shared" si="1"/>
        <v>490001</v>
      </c>
      <c r="B25" s="113">
        <f t="shared" si="0"/>
        <v>500000</v>
      </c>
      <c r="C25" s="23">
        <v>5.3999999999999999E-2</v>
      </c>
    </row>
    <row r="26" spans="1:3" x14ac:dyDescent="0.25">
      <c r="A26" s="113">
        <f t="shared" si="1"/>
        <v>500001</v>
      </c>
      <c r="B26" s="113">
        <f t="shared" si="0"/>
        <v>510000</v>
      </c>
      <c r="C26" s="23">
        <v>5.3999999999999999E-2</v>
      </c>
    </row>
    <row r="27" spans="1:3" x14ac:dyDescent="0.25">
      <c r="A27" s="113">
        <f t="shared" si="1"/>
        <v>510001</v>
      </c>
      <c r="B27" s="113">
        <f t="shared" si="0"/>
        <v>520000</v>
      </c>
      <c r="C27" s="23">
        <v>5.2999999999999999E-2</v>
      </c>
    </row>
    <row r="28" spans="1:3" x14ac:dyDescent="0.25">
      <c r="A28" s="113">
        <f t="shared" si="1"/>
        <v>520001</v>
      </c>
      <c r="B28" s="113">
        <f t="shared" si="0"/>
        <v>530000</v>
      </c>
      <c r="C28" s="23">
        <v>5.1999999999999998E-2</v>
      </c>
    </row>
    <row r="29" spans="1:3" x14ac:dyDescent="0.25">
      <c r="A29" s="113">
        <f t="shared" si="1"/>
        <v>530001</v>
      </c>
      <c r="B29" s="113">
        <f t="shared" si="0"/>
        <v>540000</v>
      </c>
      <c r="C29" s="23">
        <v>5.0999999999999997E-2</v>
      </c>
    </row>
    <row r="30" spans="1:3" x14ac:dyDescent="0.25">
      <c r="A30" s="113">
        <f t="shared" si="1"/>
        <v>540001</v>
      </c>
      <c r="B30" s="113">
        <f t="shared" si="0"/>
        <v>550000</v>
      </c>
      <c r="C30" s="23">
        <v>0.05</v>
      </c>
    </row>
    <row r="31" spans="1:3" x14ac:dyDescent="0.25">
      <c r="A31" s="113">
        <f t="shared" si="1"/>
        <v>550001</v>
      </c>
      <c r="B31" s="113">
        <f t="shared" si="0"/>
        <v>560000</v>
      </c>
      <c r="C31" s="23">
        <v>4.9000000000000002E-2</v>
      </c>
    </row>
    <row r="32" spans="1:3" x14ac:dyDescent="0.25">
      <c r="A32" s="113">
        <f t="shared" si="1"/>
        <v>560001</v>
      </c>
      <c r="B32" s="113">
        <f t="shared" si="0"/>
        <v>570000</v>
      </c>
      <c r="C32" s="23">
        <v>4.8000000000000001E-2</v>
      </c>
    </row>
    <row r="33" spans="1:3" x14ac:dyDescent="0.25">
      <c r="A33" s="113">
        <f t="shared" si="1"/>
        <v>570001</v>
      </c>
      <c r="B33" s="113">
        <f t="shared" si="0"/>
        <v>580000</v>
      </c>
      <c r="C33" s="23">
        <v>4.7E-2</v>
      </c>
    </row>
    <row r="34" spans="1:3" x14ac:dyDescent="0.25">
      <c r="A34" s="113">
        <f t="shared" si="1"/>
        <v>580001</v>
      </c>
      <c r="B34" s="113">
        <f t="shared" si="0"/>
        <v>590000</v>
      </c>
      <c r="C34" s="23">
        <v>4.7E-2</v>
      </c>
    </row>
    <row r="35" spans="1:3" x14ac:dyDescent="0.25">
      <c r="A35" s="113">
        <f t="shared" si="1"/>
        <v>590001</v>
      </c>
      <c r="B35" s="113">
        <f t="shared" si="0"/>
        <v>600000</v>
      </c>
      <c r="C35" s="23">
        <v>4.5999999999999999E-2</v>
      </c>
    </row>
    <row r="36" spans="1:3" x14ac:dyDescent="0.25">
      <c r="A36" s="113">
        <f t="shared" si="1"/>
        <v>600001</v>
      </c>
      <c r="B36" s="113">
        <f t="shared" si="0"/>
        <v>610000</v>
      </c>
      <c r="C36" s="23">
        <v>4.4999999999999998E-2</v>
      </c>
    </row>
    <row r="37" spans="1:3" x14ac:dyDescent="0.25">
      <c r="A37" s="113">
        <f t="shared" si="1"/>
        <v>610001</v>
      </c>
      <c r="B37" s="113">
        <f t="shared" si="0"/>
        <v>620000</v>
      </c>
      <c r="C37" s="23">
        <v>4.3999999999999997E-2</v>
      </c>
    </row>
    <row r="38" spans="1:3" x14ac:dyDescent="0.25">
      <c r="A38" s="113">
        <f t="shared" si="1"/>
        <v>620001</v>
      </c>
      <c r="B38" s="113">
        <f t="shared" si="0"/>
        <v>630000</v>
      </c>
      <c r="C38" s="23">
        <v>4.2999999999999997E-2</v>
      </c>
    </row>
    <row r="39" spans="1:3" x14ac:dyDescent="0.25">
      <c r="A39" s="113">
        <f t="shared" si="1"/>
        <v>630001</v>
      </c>
      <c r="B39" s="113">
        <f t="shared" si="0"/>
        <v>640000</v>
      </c>
      <c r="C39" s="23">
        <v>4.2000000000000003E-2</v>
      </c>
    </row>
    <row r="40" spans="1:3" x14ac:dyDescent="0.25">
      <c r="A40" s="113">
        <f t="shared" si="1"/>
        <v>640001</v>
      </c>
      <c r="B40" s="113">
        <f t="shared" si="0"/>
        <v>650000</v>
      </c>
      <c r="C40" s="23">
        <v>4.1000000000000002E-2</v>
      </c>
    </row>
    <row r="41" spans="1:3" x14ac:dyDescent="0.25">
      <c r="A41" s="113">
        <f t="shared" si="1"/>
        <v>650001</v>
      </c>
      <c r="B41" s="113">
        <f t="shared" si="0"/>
        <v>660000</v>
      </c>
      <c r="C41" s="23">
        <v>0.04</v>
      </c>
    </row>
    <row r="42" spans="1:3" x14ac:dyDescent="0.25">
      <c r="A42" s="113">
        <f t="shared" si="1"/>
        <v>660001</v>
      </c>
      <c r="B42" s="113">
        <f t="shared" si="0"/>
        <v>670000</v>
      </c>
      <c r="C42" s="23">
        <v>0.04</v>
      </c>
    </row>
    <row r="43" spans="1:3" x14ac:dyDescent="0.25">
      <c r="A43" s="113">
        <f t="shared" si="1"/>
        <v>670001</v>
      </c>
      <c r="B43" s="113">
        <f t="shared" si="0"/>
        <v>680000</v>
      </c>
      <c r="C43" s="23">
        <v>3.9E-2</v>
      </c>
    </row>
    <row r="44" spans="1:3" x14ac:dyDescent="0.25">
      <c r="A44" s="113">
        <f t="shared" si="1"/>
        <v>680001</v>
      </c>
      <c r="B44" s="113">
        <f t="shared" si="0"/>
        <v>690000</v>
      </c>
      <c r="C44" s="23">
        <v>3.7999999999999999E-2</v>
      </c>
    </row>
    <row r="45" spans="1:3" x14ac:dyDescent="0.25">
      <c r="A45" s="113">
        <f t="shared" si="1"/>
        <v>690001</v>
      </c>
      <c r="B45" s="113">
        <f t="shared" si="0"/>
        <v>700000</v>
      </c>
      <c r="C45" s="23">
        <v>3.6999999999999998E-2</v>
      </c>
    </row>
    <row r="46" spans="1:3" x14ac:dyDescent="0.25">
      <c r="A46" s="113">
        <f t="shared" si="1"/>
        <v>700001</v>
      </c>
      <c r="B46" s="113">
        <f t="shared" si="0"/>
        <v>710000</v>
      </c>
      <c r="C46" s="23">
        <v>3.5999999999999997E-2</v>
      </c>
    </row>
    <row r="47" spans="1:3" x14ac:dyDescent="0.25">
      <c r="A47" s="113">
        <f t="shared" si="1"/>
        <v>710001</v>
      </c>
      <c r="B47" s="113">
        <f t="shared" si="0"/>
        <v>720000</v>
      </c>
      <c r="C47" s="23">
        <v>3.5000000000000003E-2</v>
      </c>
    </row>
    <row r="48" spans="1:3" x14ac:dyDescent="0.25">
      <c r="A48" s="113">
        <f t="shared" si="1"/>
        <v>720001</v>
      </c>
      <c r="B48" s="113">
        <f t="shared" si="0"/>
        <v>730000</v>
      </c>
      <c r="C48" s="23">
        <v>3.4000000000000002E-2</v>
      </c>
    </row>
    <row r="49" spans="1:3" x14ac:dyDescent="0.25">
      <c r="A49" s="113">
        <f t="shared" si="1"/>
        <v>730001</v>
      </c>
      <c r="B49" s="113">
        <f t="shared" si="0"/>
        <v>740000</v>
      </c>
      <c r="C49" s="23">
        <v>3.3000000000000002E-2</v>
      </c>
    </row>
    <row r="50" spans="1:3" x14ac:dyDescent="0.25">
      <c r="A50" s="113">
        <f t="shared" si="1"/>
        <v>740001</v>
      </c>
      <c r="B50" s="113">
        <f t="shared" si="0"/>
        <v>750000</v>
      </c>
      <c r="C50" s="23">
        <v>3.3000000000000002E-2</v>
      </c>
    </row>
    <row r="51" spans="1:3" x14ac:dyDescent="0.25">
      <c r="A51" s="113">
        <f t="shared" si="1"/>
        <v>750001</v>
      </c>
      <c r="B51" s="113">
        <f t="shared" si="0"/>
        <v>760000</v>
      </c>
      <c r="C51" s="23">
        <v>3.2000000000000001E-2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3" workbookViewId="0">
      <selection activeCell="C17" sqref="C17"/>
    </sheetView>
  </sheetViews>
  <sheetFormatPr defaultRowHeight="15" x14ac:dyDescent="0.25"/>
  <cols>
    <col min="1" max="1" width="12.42578125" customWidth="1"/>
    <col min="2" max="2" width="48" customWidth="1"/>
    <col min="3" max="3" width="15.5703125" customWidth="1"/>
    <col min="4" max="4" width="12.7109375" bestFit="1" customWidth="1"/>
    <col min="5" max="5" width="12.28515625" bestFit="1" customWidth="1"/>
    <col min="6" max="6" width="9.7109375" bestFit="1" customWidth="1"/>
    <col min="7" max="7" width="13.28515625" customWidth="1"/>
    <col min="8" max="8" width="2.7109375" customWidth="1"/>
    <col min="9" max="9" width="11" bestFit="1" customWidth="1"/>
    <col min="10" max="10" width="2.7109375" customWidth="1"/>
    <col min="11" max="11" width="13.5703125" customWidth="1"/>
    <col min="12" max="12" width="2.7109375" customWidth="1"/>
    <col min="13" max="13" width="11.28515625" bestFit="1" customWidth="1"/>
    <col min="14" max="14" width="2.7109375" customWidth="1"/>
    <col min="15" max="15" width="12.28515625" bestFit="1" customWidth="1"/>
    <col min="16" max="16" width="2.7109375" style="69" customWidth="1"/>
    <col min="17" max="17" width="11.7109375" bestFit="1" customWidth="1"/>
    <col min="18" max="18" width="2.7109375" style="69" customWidth="1"/>
  </cols>
  <sheetData>
    <row r="1" spans="1:19" hidden="1" x14ac:dyDescent="0.25">
      <c r="B1" t="s">
        <v>8</v>
      </c>
      <c r="D1">
        <v>-8.8888888888888869E-8</v>
      </c>
      <c r="O1" s="54" t="s">
        <v>10</v>
      </c>
      <c r="P1" s="78"/>
      <c r="Q1" s="54" t="s">
        <v>11</v>
      </c>
      <c r="R1" s="78"/>
    </row>
    <row r="2" spans="1:19" hidden="1" x14ac:dyDescent="0.25">
      <c r="B2" t="s">
        <v>9</v>
      </c>
      <c r="D2">
        <v>-9.8666666666666666E-2</v>
      </c>
      <c r="O2" s="53">
        <f>IF(K13&gt;(D17*(1+G17)),K13,D17)</f>
        <v>350000</v>
      </c>
      <c r="P2" s="79"/>
      <c r="Q2" s="53">
        <f>IF(M13&gt;D19*(1+G17),M13,D19)</f>
        <v>1950</v>
      </c>
      <c r="R2" s="79"/>
    </row>
    <row r="4" spans="1:19" x14ac:dyDescent="0.25">
      <c r="A4" s="83"/>
      <c r="B4" s="84" t="s">
        <v>23</v>
      </c>
      <c r="C4" s="92"/>
      <c r="E4" s="83"/>
      <c r="F4" s="121" t="s">
        <v>35</v>
      </c>
      <c r="G4" s="121"/>
      <c r="H4" s="121"/>
      <c r="I4" s="121"/>
      <c r="J4" s="121"/>
      <c r="K4" s="121"/>
      <c r="L4" s="121"/>
    </row>
    <row r="5" spans="1:19" ht="60" x14ac:dyDescent="0.25">
      <c r="A5" s="85" t="s">
        <v>37</v>
      </c>
      <c r="B5" s="86" t="s">
        <v>36</v>
      </c>
      <c r="C5" s="51"/>
      <c r="E5" s="89" t="s">
        <v>24</v>
      </c>
      <c r="F5" s="122" t="s">
        <v>28</v>
      </c>
      <c r="G5" s="122"/>
      <c r="H5" s="122"/>
      <c r="I5" s="122"/>
      <c r="J5" s="122"/>
      <c r="K5" s="122"/>
      <c r="L5" s="123"/>
    </row>
    <row r="6" spans="1:19" ht="32.25" customHeight="1" x14ac:dyDescent="0.25">
      <c r="A6" s="85"/>
      <c r="B6" s="86"/>
      <c r="C6" s="51"/>
      <c r="E6" s="90" t="s">
        <v>25</v>
      </c>
      <c r="F6" s="124" t="s">
        <v>29</v>
      </c>
      <c r="G6" s="124"/>
      <c r="H6" s="124"/>
      <c r="I6" s="124"/>
      <c r="J6" s="124"/>
      <c r="K6" s="124"/>
      <c r="L6" s="125"/>
    </row>
    <row r="7" spans="1:19" ht="30" x14ac:dyDescent="0.25">
      <c r="A7" s="85" t="s">
        <v>38</v>
      </c>
      <c r="B7" s="86" t="s">
        <v>40</v>
      </c>
      <c r="C7" s="51"/>
      <c r="E7" s="90" t="s">
        <v>26</v>
      </c>
      <c r="F7" s="124" t="s">
        <v>30</v>
      </c>
      <c r="G7" s="124"/>
      <c r="H7" s="124"/>
      <c r="I7" s="124"/>
      <c r="J7" s="124"/>
      <c r="K7" s="124"/>
      <c r="L7" s="125"/>
    </row>
    <row r="8" spans="1:19" ht="75" x14ac:dyDescent="0.25">
      <c r="A8" s="87" t="s">
        <v>39</v>
      </c>
      <c r="B8" s="88" t="s">
        <v>41</v>
      </c>
      <c r="C8" s="51"/>
      <c r="E8" s="91" t="s">
        <v>27</v>
      </c>
      <c r="F8" s="126" t="s">
        <v>31</v>
      </c>
      <c r="G8" s="126"/>
      <c r="H8" s="126"/>
      <c r="I8" s="126"/>
      <c r="J8" s="126"/>
      <c r="K8" s="126"/>
      <c r="L8" s="127"/>
    </row>
    <row r="9" spans="1:19" ht="22.5" customHeight="1" x14ac:dyDescent="0.25">
      <c r="A9" s="97"/>
      <c r="B9" s="98"/>
      <c r="C9" s="51"/>
      <c r="E9" s="110"/>
      <c r="F9" s="120"/>
      <c r="G9" s="120"/>
      <c r="H9" s="120"/>
      <c r="I9" s="120"/>
      <c r="J9" s="120"/>
      <c r="K9" s="120"/>
      <c r="L9" s="120"/>
    </row>
    <row r="10" spans="1:19" ht="34.5" customHeight="1" x14ac:dyDescent="0.25">
      <c r="A10" s="55"/>
      <c r="E10" s="97"/>
      <c r="F10" s="118"/>
      <c r="G10" s="118"/>
      <c r="H10" s="118"/>
      <c r="I10" s="118"/>
      <c r="J10" s="118"/>
      <c r="K10" s="118"/>
      <c r="L10" s="118"/>
    </row>
    <row r="12" spans="1:19" ht="45" x14ac:dyDescent="0.25">
      <c r="K12" s="54" t="s">
        <v>32</v>
      </c>
      <c r="L12" s="55"/>
      <c r="M12" s="59" t="s">
        <v>33</v>
      </c>
      <c r="N12" s="69"/>
    </row>
    <row r="13" spans="1:19" ht="21" x14ac:dyDescent="0.35">
      <c r="A13" s="82" t="s">
        <v>16</v>
      </c>
      <c r="B13" s="50" t="s">
        <v>14</v>
      </c>
      <c r="C13" s="128" t="s">
        <v>34</v>
      </c>
      <c r="D13" s="128"/>
      <c r="E13" s="128"/>
      <c r="F13" s="128"/>
      <c r="G13" s="128"/>
      <c r="H13" s="128"/>
      <c r="I13" s="128"/>
      <c r="K13" s="53">
        <f>VLOOKUP(C13,Launatafla_heild,3,FALSE)</f>
        <v>0</v>
      </c>
      <c r="L13" s="53"/>
      <c r="M13" s="13">
        <f>K13/173.33</f>
        <v>0</v>
      </c>
      <c r="N13" s="69"/>
    </row>
    <row r="14" spans="1:19" ht="21" x14ac:dyDescent="0.35">
      <c r="A14" s="72"/>
      <c r="N14" s="69"/>
    </row>
    <row r="15" spans="1:19" s="55" customFormat="1" ht="23.25" x14ac:dyDescent="0.35">
      <c r="A15" s="72"/>
      <c r="B15"/>
      <c r="C15" s="82" t="s">
        <v>17</v>
      </c>
      <c r="D15" s="82" t="s">
        <v>18</v>
      </c>
      <c r="E15"/>
      <c r="F15"/>
      <c r="G15"/>
      <c r="H15"/>
      <c r="I15" s="80"/>
      <c r="J15"/>
      <c r="K15" s="73" t="s">
        <v>24</v>
      </c>
      <c r="L15"/>
      <c r="M15" s="73" t="s">
        <v>25</v>
      </c>
      <c r="N15" s="69"/>
      <c r="O15" s="73" t="s">
        <v>26</v>
      </c>
      <c r="P15" s="80"/>
      <c r="Q15" s="73" t="s">
        <v>27</v>
      </c>
      <c r="R15" s="80"/>
      <c r="S15"/>
    </row>
    <row r="16" spans="1:19" ht="60" x14ac:dyDescent="0.25">
      <c r="A16" s="81"/>
      <c r="B16" s="55"/>
      <c r="C16" s="96" t="s">
        <v>42</v>
      </c>
      <c r="D16" s="96" t="s">
        <v>43</v>
      </c>
      <c r="E16" s="95"/>
      <c r="F16" s="56" t="s">
        <v>22</v>
      </c>
      <c r="G16" s="58" t="s">
        <v>66</v>
      </c>
      <c r="H16" s="54"/>
      <c r="I16" s="57" t="s">
        <v>13</v>
      </c>
      <c r="J16" s="54"/>
      <c r="K16" s="60" t="s">
        <v>12</v>
      </c>
      <c r="L16" s="64"/>
      <c r="M16" s="68" t="s">
        <v>20</v>
      </c>
      <c r="N16" s="70"/>
      <c r="O16" s="60" t="s">
        <v>19</v>
      </c>
      <c r="P16" s="64"/>
      <c r="Q16" s="77" t="s">
        <v>21</v>
      </c>
      <c r="R16" s="78"/>
      <c r="S16" s="55"/>
    </row>
    <row r="17" spans="1:18" ht="21" x14ac:dyDescent="0.35">
      <c r="A17" s="94"/>
      <c r="B17" s="99" t="s">
        <v>44</v>
      </c>
      <c r="C17" s="129">
        <v>350000</v>
      </c>
      <c r="D17" s="129">
        <v>350000</v>
      </c>
      <c r="E17" s="130">
        <f>D17/173.33</f>
        <v>2019.2696013384871</v>
      </c>
      <c r="F17" s="130">
        <f>IF(E17&lt;M13,M13,E17)</f>
        <v>2019.2696013384871</v>
      </c>
      <c r="G17" s="131">
        <f>IF(Threp_4_b&lt;300001,7.2%,IF(Threp_4_b&gt;750000,3.2%,VLOOKUP(D17,Tafla!A5:C51,3,TRUE)))</f>
        <v>6.8000000000000005E-2</v>
      </c>
      <c r="H17" s="132"/>
      <c r="I17" s="133">
        <f>IF(D17/C17-1&lt;0%,0%,D17/C17-1)</f>
        <v>0</v>
      </c>
      <c r="J17" s="132"/>
      <c r="K17" s="134">
        <f>IF((F17/E17)-1&gt;G17,(F17/E17)-1,IF(G17-I17&lt;3.2%,3.2%,G17-I17))</f>
        <v>6.8000000000000005E-2</v>
      </c>
      <c r="L17" s="135"/>
      <c r="M17" s="136">
        <f>E17*(1+K17)</f>
        <v>2156.5799342295045</v>
      </c>
      <c r="N17" s="137"/>
      <c r="O17" s="138">
        <f>D17*(1+K17)</f>
        <v>373800</v>
      </c>
      <c r="P17" s="139"/>
      <c r="Q17" s="138">
        <f>O17-D17</f>
        <v>23800</v>
      </c>
      <c r="R17" s="79"/>
    </row>
    <row r="18" spans="1:18" ht="21" hidden="1" x14ac:dyDescent="0.35">
      <c r="A18" s="94"/>
      <c r="C18" s="14"/>
      <c r="D18" s="14"/>
      <c r="E18" s="14"/>
      <c r="F18" s="14"/>
      <c r="G18" s="14"/>
      <c r="I18" s="14"/>
      <c r="K18" s="62"/>
      <c r="L18" s="66"/>
      <c r="M18" s="67"/>
      <c r="N18" s="71"/>
      <c r="O18" s="76"/>
      <c r="P18" s="74"/>
      <c r="Q18" s="76"/>
      <c r="R18" s="74"/>
    </row>
    <row r="19" spans="1:18" ht="21" hidden="1" x14ac:dyDescent="0.35">
      <c r="A19" s="94"/>
      <c r="B19" t="s">
        <v>15</v>
      </c>
      <c r="C19" s="52">
        <v>1950</v>
      </c>
      <c r="D19" s="52">
        <v>1950</v>
      </c>
      <c r="E19" s="53">
        <f>D19*173.33</f>
        <v>337993.5</v>
      </c>
      <c r="F19" s="53">
        <f>IF(D19&lt;M13,M13,D19)</f>
        <v>1950</v>
      </c>
      <c r="G19" s="12">
        <f>IF(E19*B_1-C_1&lt;3.2%,3.2%,IF(E19*B_1-C_1&gt;7.2%,7.2%,E19*B_1-C_1))</f>
        <v>6.8622800000000012E-2</v>
      </c>
      <c r="I19" s="93">
        <f>IF(D19/C19-1&lt;0%,0%,D19/C19-1)</f>
        <v>0</v>
      </c>
      <c r="K19" s="61">
        <f>IF((F19/D19)-1&gt;G19,(F19/D19)-1,IF(G19-I19&lt;3.2%,3.2%,G19-I19))</f>
        <v>6.8622800000000012E-2</v>
      </c>
      <c r="L19" s="65"/>
      <c r="M19" s="67">
        <f>D19*(1+K19)</f>
        <v>2083.8144600000001</v>
      </c>
      <c r="N19" s="71"/>
      <c r="O19" s="75">
        <f>E19*(1+K19)</f>
        <v>361187.5603518</v>
      </c>
      <c r="P19" s="79"/>
      <c r="Q19" s="75">
        <f>O19-E19</f>
        <v>23194.060351799999</v>
      </c>
      <c r="R19" s="79"/>
    </row>
    <row r="20" spans="1:18" x14ac:dyDescent="0.25">
      <c r="G20" s="12"/>
      <c r="P20" s="109"/>
      <c r="Q20" s="109"/>
      <c r="R20" s="109"/>
    </row>
    <row r="22" spans="1:18" ht="18.75" customHeight="1" x14ac:dyDescent="0.25">
      <c r="B22" s="119" t="s">
        <v>61</v>
      </c>
      <c r="C22" s="119"/>
      <c r="D22" s="119"/>
      <c r="E22" s="119"/>
      <c r="F22" s="119"/>
      <c r="G22" s="119"/>
      <c r="H22" s="119"/>
      <c r="I22" s="63"/>
      <c r="J22" s="63"/>
      <c r="K22" s="63"/>
      <c r="L22" s="63"/>
    </row>
    <row r="23" spans="1:18" ht="19.5" customHeight="1" x14ac:dyDescent="0.25">
      <c r="B23" s="119"/>
      <c r="C23" s="119"/>
      <c r="D23" s="119"/>
      <c r="E23" s="119"/>
      <c r="F23" s="119"/>
      <c r="G23" s="119"/>
      <c r="H23" s="119"/>
      <c r="I23" s="63"/>
      <c r="J23" s="63"/>
      <c r="K23" s="63"/>
      <c r="L23" s="63"/>
    </row>
    <row r="24" spans="1:18" x14ac:dyDescent="0.25">
      <c r="B24" s="119"/>
      <c r="C24" s="119"/>
      <c r="D24" s="119"/>
      <c r="E24" s="119"/>
      <c r="F24" s="119"/>
      <c r="G24" s="119"/>
      <c r="H24" s="119"/>
    </row>
  </sheetData>
  <sheetProtection algorithmName="SHA-512" hashValue="diLyQWJ5bK/LQT4OWgRw50hkBUiFuIab5KUifoCU/vFsw83Qtvp4Bh+63Aux6F2VEQRn1ziqjs8ZEJO2lUxMpA==" saltValue="Wkyzudxg0ugZ2C9ZxhhU7Q==" spinCount="100000" sheet="1" objects="1" scenarios="1" selectLockedCells="1"/>
  <dataConsolidate/>
  <mergeCells count="9">
    <mergeCell ref="F10:L10"/>
    <mergeCell ref="C13:I13"/>
    <mergeCell ref="B22:H24"/>
    <mergeCell ref="F9:L9"/>
    <mergeCell ref="F4:L4"/>
    <mergeCell ref="F5:L5"/>
    <mergeCell ref="F6:L6"/>
    <mergeCell ref="F7:L7"/>
    <mergeCell ref="F8:L8"/>
  </mergeCells>
  <conditionalFormatting sqref="F17">
    <cfRule type="cellIs" dxfId="1" priority="2" operator="greaterThan">
      <formula>$E$17</formula>
    </cfRule>
  </conditionalFormatting>
  <conditionalFormatting sqref="F19">
    <cfRule type="cellIs" dxfId="0" priority="1" operator="greaterThan">
      <formula>$D$19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'RSI-Tafla'!$A$5:$A$21</xm:f>
          </x14:formula1>
          <xm:sqref>C13:I13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RSI-Tafla</vt:lpstr>
      <vt:lpstr>Tafla</vt:lpstr>
      <vt:lpstr>Mánaðarlaun</vt:lpstr>
      <vt:lpstr>Mánaðarlaun!B_1</vt:lpstr>
      <vt:lpstr>Mánaðarlaun!C_1</vt:lpstr>
      <vt:lpstr>Launatafla_heild</vt:lpstr>
      <vt:lpstr>LT_2014</vt:lpstr>
      <vt:lpstr>Mánaðarlaun!Threp_1</vt:lpstr>
      <vt:lpstr>Threp_3_b</vt:lpstr>
      <vt:lpstr>Threp_4_b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Kristján Þórður Snæbjarnarson</dc:creator>
  <cp:lastModifiedBy>Kristján Þórður Snæbjarnarson</cp:lastModifiedBy>
  <dcterms:created xsi:type="dcterms:W3CDTF">2015-06-26T20:16:13Z</dcterms:created>
  <dcterms:modified xsi:type="dcterms:W3CDTF">2015-07-06T20:05:44Z</dcterms:modified>
</cp:coreProperties>
</file>